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527"/>
  <workbookPr defaultThemeVersion="166925"/>
  <mc:AlternateContent xmlns:mc="http://schemas.openxmlformats.org/markup-compatibility/2006">
    <mc:Choice Requires="x15">
      <x15ac:absPath xmlns:x15ac="http://schemas.microsoft.com/office/spreadsheetml/2010/11/ac" url="D:\Desktop Data\RIL 4th Week\"/>
    </mc:Choice>
  </mc:AlternateContent>
  <xr:revisionPtr revIDLastSave="0" documentId="8_{63206CCB-FD93-448E-8F92-53610D2964D0}" xr6:coauthVersionLast="47" xr6:coauthVersionMax="47" xr10:uidLastSave="{00000000-0000-0000-0000-000000000000}"/>
  <bookViews>
    <workbookView xWindow="-120" yWindow="-120" windowWidth="20730" windowHeight="11160" tabRatio="648" firstSheet="1" activeTab="3" xr2:uid="{FC0C5651-55DF-428D-B44B-516314C33FC7}"/>
  </bookViews>
  <sheets>
    <sheet name="Cover Page" sheetId="15" r:id="rId1"/>
    <sheet name="Equipment List " sheetId="14" r:id="rId2"/>
    <sheet name="Capex" sheetId="5" r:id="rId3"/>
    <sheet name="Opex " sheetId="11" r:id="rId4"/>
    <sheet name="Opex" sheetId="6" state="hidden" r:id="rId5"/>
    <sheet name="Cost of Production" sheetId="12" r:id="rId6"/>
    <sheet name="Cash Flow Epoxy Resin" sheetId="10" r:id="rId7"/>
    <sheet name="Cash Flow" sheetId="7" state="hidden" r:id="rId8"/>
    <sheet name="Working sheet" sheetId="9"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64" i="14" l="1"/>
  <c r="E30" i="14"/>
  <c r="C20" i="5"/>
  <c r="C3" i="5"/>
  <c r="C18" i="5"/>
  <c r="C12" i="5"/>
  <c r="M62" i="14"/>
  <c r="E62" i="14"/>
  <c r="M30" i="14"/>
  <c r="M64" i="14" s="1"/>
  <c r="C2" i="5" l="1"/>
  <c r="D12" i="11"/>
  <c r="H18" i="12"/>
  <c r="H8" i="12"/>
  <c r="H7" i="12"/>
  <c r="H6" i="12"/>
  <c r="E18" i="12"/>
  <c r="E7" i="12"/>
  <c r="E8" i="12"/>
  <c r="E6" i="12"/>
  <c r="D4" i="11"/>
  <c r="D3" i="11" s="1"/>
  <c r="D9" i="11"/>
  <c r="H9" i="12" l="1"/>
  <c r="H12" i="12" s="1"/>
  <c r="H20" i="12" s="1"/>
  <c r="E9" i="12"/>
  <c r="E12" i="12" s="1"/>
  <c r="E20" i="12" s="1"/>
  <c r="E24" i="10" l="1"/>
  <c r="J12" i="10" l="1"/>
  <c r="K12" i="10"/>
  <c r="L12" i="10"/>
  <c r="M12" i="10"/>
  <c r="N12" i="10"/>
  <c r="I12" i="10"/>
  <c r="H12" i="10"/>
  <c r="G12" i="10"/>
  <c r="F12" i="10"/>
  <c r="E12" i="10"/>
  <c r="N10" i="10"/>
  <c r="M10" i="10"/>
  <c r="M9" i="10" s="1"/>
  <c r="L10" i="10"/>
  <c r="K10" i="10"/>
  <c r="K9" i="10" s="1"/>
  <c r="J10" i="10"/>
  <c r="J9" i="10" s="1"/>
  <c r="I10" i="10"/>
  <c r="I9" i="10" s="1"/>
  <c r="H10" i="10"/>
  <c r="G10" i="10"/>
  <c r="F10" i="10"/>
  <c r="F9" i="10" s="1"/>
  <c r="E10" i="10"/>
  <c r="E9" i="10" s="1"/>
  <c r="N9" i="10" l="1"/>
  <c r="G9" i="10"/>
  <c r="H9" i="10"/>
  <c r="L9" i="10"/>
  <c r="J24" i="10"/>
  <c r="G24" i="10"/>
  <c r="H24" i="10"/>
  <c r="D8" i="11"/>
  <c r="G22" i="6"/>
  <c r="H22" i="6" s="1"/>
  <c r="K5" i="10"/>
  <c r="J5" i="10"/>
  <c r="I5" i="10"/>
  <c r="E39" i="10"/>
  <c r="F39" i="10" s="1"/>
  <c r="G39" i="10" s="1"/>
  <c r="H39" i="10" s="1"/>
  <c r="I39" i="10" s="1"/>
  <c r="J39" i="10" s="1"/>
  <c r="K39" i="10" s="1"/>
  <c r="L39" i="10" s="1"/>
  <c r="M39" i="10" s="1"/>
  <c r="N39" i="10" s="1"/>
  <c r="K26" i="10" l="1"/>
  <c r="L26" i="10" s="1"/>
  <c r="M26" i="10" s="1"/>
  <c r="N26" i="10" s="1"/>
  <c r="I24" i="10"/>
  <c r="F24" i="10"/>
  <c r="K24" i="10"/>
  <c r="L24" i="10"/>
  <c r="M24" i="10" s="1"/>
  <c r="N24" i="10" s="1"/>
  <c r="J26" i="10"/>
  <c r="F26" i="10"/>
  <c r="I26" i="10"/>
  <c r="E26" i="10"/>
  <c r="G26" i="10"/>
  <c r="H26" i="10"/>
  <c r="E4" i="9"/>
  <c r="E5" i="9" s="1"/>
  <c r="E17" i="10" s="1"/>
  <c r="D7" i="11"/>
  <c r="F4" i="9"/>
  <c r="G4" i="9"/>
  <c r="D14" i="11" l="1"/>
  <c r="D13" i="11"/>
  <c r="D6" i="11"/>
  <c r="J4" i="9"/>
  <c r="I4" i="9"/>
  <c r="H4" i="9"/>
  <c r="K4" i="9"/>
  <c r="L4" i="9" l="1"/>
  <c r="M4" i="9" l="1"/>
  <c r="N4" i="9" l="1"/>
  <c r="K18" i="7"/>
  <c r="L18" i="7"/>
  <c r="M18" i="7"/>
  <c r="N32" i="7"/>
  <c r="O32" i="7"/>
  <c r="D4" i="6"/>
  <c r="F26" i="7" s="1"/>
  <c r="M9" i="7"/>
  <c r="O4" i="9" s="1"/>
  <c r="L9" i="7"/>
  <c r="K9" i="7"/>
  <c r="L5" i="9" s="1"/>
  <c r="L17" i="10" s="1"/>
  <c r="K11" i="7"/>
  <c r="L11" i="7" s="1"/>
  <c r="M11" i="7" s="1"/>
  <c r="M10" i="7"/>
  <c r="L10" i="7"/>
  <c r="K10" i="7"/>
  <c r="H5" i="9"/>
  <c r="H17" i="10" s="1"/>
  <c r="I5" i="9"/>
  <c r="I17" i="10" s="1"/>
  <c r="I9" i="7"/>
  <c r="H9" i="7"/>
  <c r="G9" i="7"/>
  <c r="F9" i="7"/>
  <c r="E9" i="7"/>
  <c r="F11" i="7"/>
  <c r="G11" i="7"/>
  <c r="H11" i="7" s="1"/>
  <c r="I11" i="7" s="1"/>
  <c r="J11" i="7" s="1"/>
  <c r="E11" i="7"/>
  <c r="J10" i="7"/>
  <c r="I10" i="7"/>
  <c r="H10" i="7"/>
  <c r="G10" i="7"/>
  <c r="F10" i="7"/>
  <c r="E10" i="7"/>
  <c r="D10" i="7"/>
  <c r="J9" i="7"/>
  <c r="D9" i="7"/>
  <c r="K5" i="9"/>
  <c r="K17" i="10" s="1"/>
  <c r="J5" i="9"/>
  <c r="J17" i="10" s="1"/>
  <c r="D40" i="7"/>
  <c r="E40" i="7" s="1"/>
  <c r="F40" i="7" s="1"/>
  <c r="G40" i="7" s="1"/>
  <c r="H40" i="7" s="1"/>
  <c r="I40" i="7" s="1"/>
  <c r="J40" i="7" s="1"/>
  <c r="F7" i="6"/>
  <c r="K14" i="7" l="1"/>
  <c r="J14" i="7"/>
  <c r="I14" i="7"/>
  <c r="G14" i="7"/>
  <c r="H14" i="7"/>
  <c r="H26" i="7"/>
  <c r="J26" i="7"/>
  <c r="G26" i="7"/>
  <c r="K26" i="7"/>
  <c r="D26" i="7"/>
  <c r="L26" i="7"/>
  <c r="E26" i="7"/>
  <c r="M26" i="7"/>
  <c r="D14" i="7"/>
  <c r="N5" i="9"/>
  <c r="M5" i="9"/>
  <c r="F4" i="6"/>
  <c r="I26" i="7" s="1"/>
  <c r="M14" i="7" l="1"/>
  <c r="N17" i="10"/>
  <c r="L14" i="7"/>
  <c r="M17" i="10"/>
  <c r="G18" i="7"/>
  <c r="H18" i="7"/>
  <c r="I18" i="7"/>
  <c r="J18" i="7"/>
  <c r="F18" i="7"/>
  <c r="D5" i="6"/>
  <c r="F23" i="6"/>
  <c r="E18" i="7" l="1"/>
  <c r="D18" i="7"/>
  <c r="F5" i="6"/>
  <c r="D6" i="6"/>
  <c r="D10" i="6"/>
  <c r="L27" i="7" l="1"/>
  <c r="K27" i="7"/>
  <c r="I27" i="7"/>
  <c r="J27" i="7"/>
  <c r="H27" i="7"/>
  <c r="M27" i="7"/>
  <c r="G27" i="7"/>
  <c r="E27" i="7"/>
  <c r="F27" i="7"/>
  <c r="D27" i="7"/>
  <c r="F10" i="6"/>
  <c r="F6" i="6"/>
  <c r="F14" i="6" l="1"/>
  <c r="D8" i="6" l="1"/>
  <c r="F8" i="6" s="1"/>
  <c r="G8" i="6"/>
  <c r="D6" i="10"/>
  <c r="C7" i="7"/>
  <c r="D13" i="6"/>
  <c r="F13" i="6" s="1"/>
  <c r="D17" i="6" l="1"/>
  <c r="F17" i="6" s="1"/>
  <c r="D9" i="6"/>
  <c r="F9" i="6" s="1"/>
  <c r="D15" i="6"/>
  <c r="F15" i="6" s="1"/>
  <c r="D37" i="10"/>
  <c r="D5" i="10"/>
  <c r="F5" i="10" s="1"/>
  <c r="E33" i="10" l="1"/>
  <c r="F33" i="10" s="1"/>
  <c r="G33" i="10" s="1"/>
  <c r="H33" i="10" s="1"/>
  <c r="I33" i="10" s="1"/>
  <c r="J33" i="10" s="1"/>
  <c r="K33" i="10" s="1"/>
  <c r="L33" i="10" s="1"/>
  <c r="M33" i="10" s="1"/>
  <c r="N33" i="10" s="1"/>
  <c r="D12" i="6"/>
  <c r="F12" i="6" s="1"/>
  <c r="D41" i="10"/>
  <c r="D40" i="10"/>
  <c r="C22" i="7"/>
  <c r="C37" i="7" s="1"/>
  <c r="C18" i="7"/>
  <c r="D42" i="10" l="1"/>
  <c r="C38" i="7"/>
  <c r="G5" i="9" l="1"/>
  <c r="F5" i="9"/>
  <c r="G17" i="10" l="1"/>
  <c r="F14" i="7"/>
  <c r="F17" i="10"/>
  <c r="E14" i="7"/>
  <c r="D3" i="6"/>
  <c r="D2" i="6" s="1"/>
  <c r="D18" i="6" s="1"/>
  <c r="F11" i="6"/>
  <c r="D19" i="6" l="1"/>
  <c r="D25" i="7" l="1"/>
  <c r="F19" i="6"/>
  <c r="J28" i="7"/>
  <c r="J30" i="7" s="1"/>
  <c r="F18" i="6"/>
  <c r="H28" i="7"/>
  <c r="H30" i="7" s="1"/>
  <c r="K28" i="7"/>
  <c r="K30" i="7" s="1"/>
  <c r="M28" i="7"/>
  <c r="M30" i="7" s="1"/>
  <c r="I28" i="7"/>
  <c r="I30" i="7" s="1"/>
  <c r="D28" i="7"/>
  <c r="E28" i="7"/>
  <c r="E30" i="7" s="1"/>
  <c r="D16" i="6"/>
  <c r="G28" i="7"/>
  <c r="G30" i="7" s="1"/>
  <c r="L28" i="7"/>
  <c r="L30" i="7" s="1"/>
  <c r="F28" i="7"/>
  <c r="F30" i="7" s="1"/>
  <c r="I32" i="7" l="1"/>
  <c r="M32" i="7"/>
  <c r="G32" i="7"/>
  <c r="L32" i="7"/>
  <c r="F16" i="6"/>
  <c r="D20" i="6"/>
  <c r="G20" i="6" s="1"/>
  <c r="H20" i="6" s="1"/>
  <c r="J32" i="7"/>
  <c r="F32" i="7"/>
  <c r="E32" i="7"/>
  <c r="K32" i="7"/>
  <c r="H32" i="7"/>
  <c r="D30" i="7"/>
  <c r="E36" i="7" l="1"/>
  <c r="E37" i="7" s="1"/>
  <c r="E41" i="7" s="1"/>
  <c r="F36" i="7"/>
  <c r="F37" i="7" s="1"/>
  <c r="F41" i="7" s="1"/>
  <c r="H36" i="7"/>
  <c r="H37" i="7" s="1"/>
  <c r="H41" i="7" s="1"/>
  <c r="G36" i="7"/>
  <c r="G37" i="7" s="1"/>
  <c r="G41" i="7" s="1"/>
  <c r="D24" i="6"/>
  <c r="F20" i="6"/>
  <c r="I36" i="7"/>
  <c r="I37" i="7" s="1"/>
  <c r="I41" i="7" s="1"/>
  <c r="D32" i="7"/>
  <c r="J36" i="7"/>
  <c r="J37" i="7" s="1"/>
  <c r="J41" i="7" s="1"/>
  <c r="D36" i="7" l="1"/>
  <c r="D37" i="7" s="1"/>
  <c r="D38" i="7" l="1"/>
  <c r="E38" i="7" s="1"/>
  <c r="F38" i="7" s="1"/>
  <c r="C43" i="7"/>
  <c r="D41" i="7"/>
  <c r="C42" i="7" s="1"/>
  <c r="C44" i="7" l="1"/>
  <c r="G38" i="7"/>
  <c r="H38" i="7" s="1"/>
  <c r="I38" i="7" s="1"/>
  <c r="J38" i="7" s="1"/>
  <c r="J25" i="10" l="1"/>
  <c r="G25" i="10"/>
  <c r="F25" i="10"/>
  <c r="K25" i="10"/>
  <c r="L25" i="10" s="1"/>
  <c r="M25" i="10" s="1"/>
  <c r="N25" i="10" s="1"/>
  <c r="H25" i="10"/>
  <c r="E25" i="10"/>
  <c r="I25" i="10"/>
  <c r="D11" i="11" l="1"/>
  <c r="D2" i="11" l="1"/>
  <c r="D16" i="11" s="1"/>
  <c r="I27" i="10"/>
  <c r="F27" i="10"/>
  <c r="G27" i="10"/>
  <c r="J27" i="10"/>
  <c r="H27" i="10"/>
  <c r="K27" i="10"/>
  <c r="L27" i="10" s="1"/>
  <c r="M27" i="10" s="1"/>
  <c r="N27" i="10" s="1"/>
  <c r="E27" i="10"/>
  <c r="D17" i="11" l="1"/>
  <c r="D15" i="11" l="1"/>
  <c r="K28" i="10" s="1"/>
  <c r="I28" i="10" l="1"/>
  <c r="I29" i="10" s="1"/>
  <c r="I31" i="10" s="1"/>
  <c r="I35" i="10" s="1"/>
  <c r="I37" i="10" s="1"/>
  <c r="I41" i="10" s="1"/>
  <c r="G28" i="10"/>
  <c r="G29" i="10" s="1"/>
  <c r="G31" i="10" s="1"/>
  <c r="G35" i="10" s="1"/>
  <c r="G37" i="10" s="1"/>
  <c r="G40" i="10" s="1"/>
  <c r="D18" i="11"/>
  <c r="F28" i="10"/>
  <c r="F29" i="10" s="1"/>
  <c r="F31" i="10" s="1"/>
  <c r="F35" i="10" s="1"/>
  <c r="F37" i="10" s="1"/>
  <c r="F41" i="10" s="1"/>
  <c r="H28" i="10"/>
  <c r="H29" i="10" s="1"/>
  <c r="J28" i="10"/>
  <c r="J29" i="10" s="1"/>
  <c r="J31" i="10" s="1"/>
  <c r="J35" i="10" s="1"/>
  <c r="J37" i="10" s="1"/>
  <c r="J41" i="10" s="1"/>
  <c r="E28" i="10"/>
  <c r="E29" i="10" s="1"/>
  <c r="K29" i="10"/>
  <c r="L28" i="10"/>
  <c r="H9" i="9" l="1"/>
  <c r="H10" i="9" s="1"/>
  <c r="H31" i="10"/>
  <c r="H35" i="10" s="1"/>
  <c r="H37" i="10" s="1"/>
  <c r="H40" i="10" s="1"/>
  <c r="I9" i="9"/>
  <c r="I10" i="9" s="1"/>
  <c r="G9" i="9"/>
  <c r="G14" i="9" s="1"/>
  <c r="G15" i="9" s="1"/>
  <c r="J9" i="9"/>
  <c r="J10" i="9" s="1"/>
  <c r="F9" i="9"/>
  <c r="F14" i="9" s="1"/>
  <c r="F15" i="9" s="1"/>
  <c r="I40" i="10"/>
  <c r="F40" i="10"/>
  <c r="G41" i="10"/>
  <c r="J40" i="10"/>
  <c r="M28" i="10"/>
  <c r="L29" i="10"/>
  <c r="D28" i="10"/>
  <c r="E9" i="9"/>
  <c r="K31" i="10"/>
  <c r="K35" i="10" s="1"/>
  <c r="K37" i="10" s="1"/>
  <c r="K9" i="9"/>
  <c r="E31" i="10"/>
  <c r="E35" i="10" s="1"/>
  <c r="E37" i="10" s="1"/>
  <c r="D24" i="10"/>
  <c r="D25" i="10"/>
  <c r="D26" i="10"/>
  <c r="D27" i="10"/>
  <c r="I14" i="9" l="1"/>
  <c r="I15" i="9" s="1"/>
  <c r="H14" i="9"/>
  <c r="H15" i="9" s="1"/>
  <c r="J14" i="9"/>
  <c r="J15" i="9" s="1"/>
  <c r="I16" i="7" s="1"/>
  <c r="H41" i="10"/>
  <c r="G10" i="9"/>
  <c r="G18" i="10" s="1"/>
  <c r="F10" i="9"/>
  <c r="E15" i="7" s="1"/>
  <c r="I18" i="10"/>
  <c r="H15" i="7"/>
  <c r="H16" i="7"/>
  <c r="I19" i="10"/>
  <c r="G15" i="7"/>
  <c r="H18" i="10"/>
  <c r="F19" i="10"/>
  <c r="E16" i="7"/>
  <c r="H19" i="10"/>
  <c r="G16" i="7"/>
  <c r="K41" i="10"/>
  <c r="K40" i="10"/>
  <c r="E14" i="9"/>
  <c r="E15" i="9" s="1"/>
  <c r="E10" i="9"/>
  <c r="L31" i="10"/>
  <c r="L35" i="10" s="1"/>
  <c r="L37" i="10" s="1"/>
  <c r="L9" i="9"/>
  <c r="J18" i="10"/>
  <c r="I15" i="7"/>
  <c r="F15" i="7"/>
  <c r="K10" i="9"/>
  <c r="K14" i="9"/>
  <c r="K15" i="9" s="1"/>
  <c r="N28" i="10"/>
  <c r="N29" i="10" s="1"/>
  <c r="M29" i="10"/>
  <c r="J19" i="10"/>
  <c r="F16" i="7"/>
  <c r="G19" i="10"/>
  <c r="E41" i="10"/>
  <c r="E40" i="10"/>
  <c r="E42" i="10"/>
  <c r="E51" i="10" s="1"/>
  <c r="E52" i="10" s="1"/>
  <c r="F18" i="10" l="1"/>
  <c r="H16" i="10"/>
  <c r="H21" i="10" s="1"/>
  <c r="I13" i="7"/>
  <c r="F16" i="10"/>
  <c r="F21" i="10" s="1"/>
  <c r="N31" i="10"/>
  <c r="N35" i="10" s="1"/>
  <c r="N37" i="10" s="1"/>
  <c r="N9" i="9"/>
  <c r="K18" i="10"/>
  <c r="J15" i="7"/>
  <c r="J16" i="10"/>
  <c r="J21" i="10" s="1"/>
  <c r="D16" i="7"/>
  <c r="E19" i="10"/>
  <c r="G13" i="7"/>
  <c r="E13" i="7"/>
  <c r="M31" i="10"/>
  <c r="M35" i="10" s="1"/>
  <c r="M37" i="10" s="1"/>
  <c r="M9" i="9"/>
  <c r="E18" i="10"/>
  <c r="D15" i="7"/>
  <c r="G16" i="10"/>
  <c r="G21" i="10" s="1"/>
  <c r="L14" i="9"/>
  <c r="L15" i="9" s="1"/>
  <c r="L10" i="9"/>
  <c r="H13" i="7"/>
  <c r="J16" i="7"/>
  <c r="K19" i="10"/>
  <c r="F13" i="7"/>
  <c r="L40" i="10"/>
  <c r="L41" i="10"/>
  <c r="I16" i="10"/>
  <c r="I21" i="10" s="1"/>
  <c r="F42" i="10"/>
  <c r="F51" i="10" s="1"/>
  <c r="F52" i="10" s="1"/>
  <c r="E16" i="10" l="1"/>
  <c r="E21" i="10" s="1"/>
  <c r="D13" i="7"/>
  <c r="J13" i="7"/>
  <c r="L18" i="10"/>
  <c r="K15" i="7"/>
  <c r="L19" i="10"/>
  <c r="K16" i="7"/>
  <c r="M10" i="9"/>
  <c r="M14" i="9"/>
  <c r="M15" i="9" s="1"/>
  <c r="K16" i="10"/>
  <c r="K21" i="10" s="1"/>
  <c r="M40" i="10"/>
  <c r="M41" i="10"/>
  <c r="D45" i="10"/>
  <c r="D46" i="10"/>
  <c r="N14" i="9"/>
  <c r="N15" i="9" s="1"/>
  <c r="N10" i="9"/>
  <c r="N40" i="10"/>
  <c r="N41" i="10"/>
  <c r="G42" i="10"/>
  <c r="G51" i="10" s="1"/>
  <c r="G52" i="10" s="1"/>
  <c r="L16" i="10" l="1"/>
  <c r="L21" i="10" s="1"/>
  <c r="M15" i="7"/>
  <c r="N18" i="10"/>
  <c r="L16" i="7"/>
  <c r="M19" i="10"/>
  <c r="K13" i="7"/>
  <c r="M16" i="7"/>
  <c r="N19" i="10"/>
  <c r="L15" i="7"/>
  <c r="M18" i="10"/>
  <c r="H42" i="10"/>
  <c r="H51" i="10" s="1"/>
  <c r="H52" i="10" s="1"/>
  <c r="M16" i="10" l="1"/>
  <c r="M21" i="10" s="1"/>
  <c r="N16" i="10"/>
  <c r="N21" i="10" s="1"/>
  <c r="M13" i="7"/>
  <c r="L13" i="7"/>
  <c r="I42" i="10"/>
  <c r="I51" i="10" s="1"/>
  <c r="I52" i="10" s="1"/>
  <c r="J42" i="10" l="1"/>
  <c r="J51" i="10" s="1"/>
  <c r="J52" i="10" s="1"/>
  <c r="K42" i="10" l="1"/>
  <c r="K51" i="10" s="1"/>
  <c r="K52" i="10" s="1"/>
  <c r="L42" i="10" l="1"/>
  <c r="L51" i="10" s="1"/>
  <c r="L52" i="10" s="1"/>
  <c r="M42" i="10" l="1"/>
  <c r="M51" i="10" s="1"/>
  <c r="M52" i="10" s="1"/>
  <c r="N42" i="10" l="1"/>
  <c r="N51" i="10" s="1"/>
  <c r="N52" i="10" s="1"/>
  <c r="D47" i="10"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Ritu Kamra</author>
  </authors>
  <commentList>
    <comment ref="C50" authorId="0" shapeId="0" xr:uid="{B8C938DB-A996-4F01-99B4-5B4C5E78987B}">
      <text>
        <r>
          <rPr>
            <b/>
            <sz val="9"/>
            <color indexed="81"/>
            <rFont val="Tahoma"/>
            <family val="2"/>
          </rPr>
          <t>Ritu Kamra:</t>
        </r>
        <r>
          <rPr>
            <sz val="9"/>
            <color indexed="81"/>
            <rFont val="Tahoma"/>
            <family val="2"/>
          </rPr>
          <t xml:space="preserve">
</t>
        </r>
      </text>
    </comment>
  </commentList>
</comments>
</file>

<file path=xl/sharedStrings.xml><?xml version="1.0" encoding="utf-8"?>
<sst xmlns="http://schemas.openxmlformats.org/spreadsheetml/2006/main" count="622" uniqueCount="274">
  <si>
    <t>Tonne</t>
  </si>
  <si>
    <t xml:space="preserve">Unit Rate </t>
  </si>
  <si>
    <t>Amount</t>
  </si>
  <si>
    <t>A</t>
  </si>
  <si>
    <t>VARIABLE COST</t>
  </si>
  <si>
    <t>TOTAL VARIABLE COST</t>
  </si>
  <si>
    <t>B</t>
  </si>
  <si>
    <t>FIXED COST</t>
  </si>
  <si>
    <t>C</t>
  </si>
  <si>
    <t>D</t>
  </si>
  <si>
    <t>Caustic Soda</t>
  </si>
  <si>
    <t>USD/Tonne</t>
  </si>
  <si>
    <t>USD</t>
  </si>
  <si>
    <t xml:space="preserve">Raw Material </t>
  </si>
  <si>
    <t>Total</t>
  </si>
  <si>
    <t>Depriciation</t>
  </si>
  <si>
    <t>MAIN PROCESS EQUIPMENTS</t>
  </si>
  <si>
    <t>[USD]</t>
  </si>
  <si>
    <t>C1</t>
  </si>
  <si>
    <t>C2</t>
  </si>
  <si>
    <t>ITEM</t>
  </si>
  <si>
    <t>TOTAL FIXED-CAPITAL INVESTMENT</t>
  </si>
  <si>
    <t>A1</t>
  </si>
  <si>
    <t>TOTAL DIRECT PLANT COST</t>
  </si>
  <si>
    <t>Delivered main equipment (includes auxiliary equipment)</t>
  </si>
  <si>
    <t>Purchased-equipment installation</t>
  </si>
  <si>
    <t>Instrumentation and controls (installed)</t>
  </si>
  <si>
    <t>Piping (installed)</t>
  </si>
  <si>
    <t>Electrical (installed)</t>
  </si>
  <si>
    <t>Buildings (including services)</t>
  </si>
  <si>
    <t>Service facilities (installed)</t>
  </si>
  <si>
    <t>A2</t>
  </si>
  <si>
    <t>TOTAL INDIRECT PLANT COST</t>
  </si>
  <si>
    <t>Engineering and supervision</t>
  </si>
  <si>
    <t>Construction expenses</t>
  </si>
  <si>
    <t>Legal expenses</t>
  </si>
  <si>
    <t>Contractor’s fee</t>
  </si>
  <si>
    <t>Contingency</t>
  </si>
  <si>
    <t>WORKING CAPITAL</t>
  </si>
  <si>
    <t>Safety and hazard analyses</t>
  </si>
  <si>
    <t>MANUFACTURING COST</t>
  </si>
  <si>
    <r>
      <t xml:space="preserve">C1 </t>
    </r>
    <r>
      <rPr>
        <sz val="9"/>
        <color theme="1"/>
        <rFont val="Arial Black"/>
        <family val="2"/>
      </rPr>
      <t xml:space="preserve">+ </t>
    </r>
    <r>
      <rPr>
        <b/>
        <sz val="9"/>
        <color theme="1"/>
        <rFont val="Palladio Uralic"/>
      </rPr>
      <t xml:space="preserve">C2 </t>
    </r>
    <r>
      <rPr>
        <sz val="9"/>
        <color theme="1"/>
        <rFont val="Arial Black"/>
        <family val="2"/>
      </rPr>
      <t xml:space="preserve">+ </t>
    </r>
    <r>
      <rPr>
        <b/>
        <sz val="9"/>
        <color theme="1"/>
        <rFont val="Palladio Uralic"/>
      </rPr>
      <t>C3</t>
    </r>
  </si>
  <si>
    <t>DIRECT PRODUCTION COSTS</t>
  </si>
  <si>
    <t>1 to 8</t>
  </si>
  <si>
    <t>Raw materials (calculated)</t>
  </si>
  <si>
    <t>-</t>
  </si>
  <si>
    <t>Operating labor (calculated)</t>
  </si>
  <si>
    <t>Direct supervisory and clerical labor (17.5% of operating labor)</t>
  </si>
  <si>
    <t>Utilities (calculated)</t>
  </si>
  <si>
    <t>Operating supplies (15% of cost for maintenance and repairs)</t>
  </si>
  <si>
    <t>Laboratory charges (15% of operating labor)</t>
  </si>
  <si>
    <t>Patents and royalties (4% of C1.1 to C1.7)</t>
  </si>
  <si>
    <t>INDIRECT PRODUCTION COSTS</t>
  </si>
  <si>
    <t>C3</t>
  </si>
  <si>
    <r>
      <t xml:space="preserve">PLANT-OVERHEAD COSTS (60% of 2 </t>
    </r>
    <r>
      <rPr>
        <sz val="9"/>
        <color theme="1"/>
        <rFont val="Arial Black"/>
        <family val="2"/>
      </rPr>
      <t xml:space="preserve">+ </t>
    </r>
    <r>
      <rPr>
        <sz val="9"/>
        <color theme="1"/>
        <rFont val="Palladio Uralic"/>
      </rPr>
      <t xml:space="preserve">3 </t>
    </r>
    <r>
      <rPr>
        <sz val="9"/>
        <color theme="1"/>
        <rFont val="Arial Black"/>
        <family val="2"/>
      </rPr>
      <t xml:space="preserve">+ </t>
    </r>
    <r>
      <rPr>
        <sz val="9"/>
        <color theme="1"/>
        <rFont val="Palladio Uralic"/>
      </rPr>
      <t>5)</t>
    </r>
  </si>
  <si>
    <t>GENERAL EXPENSES</t>
  </si>
  <si>
    <t>14 to 16</t>
  </si>
  <si>
    <r>
      <t xml:space="preserve">Administrative costs (15% of 2 </t>
    </r>
    <r>
      <rPr>
        <sz val="9"/>
        <color theme="1"/>
        <rFont val="Arial Black"/>
        <family val="2"/>
      </rPr>
      <t xml:space="preserve">+ </t>
    </r>
    <r>
      <rPr>
        <sz val="9"/>
        <color theme="1"/>
        <rFont val="Palladio Uralic"/>
      </rPr>
      <t xml:space="preserve">3 </t>
    </r>
    <r>
      <rPr>
        <sz val="9"/>
        <color theme="1"/>
        <rFont val="Arial Black"/>
        <family val="2"/>
      </rPr>
      <t xml:space="preserve">+ </t>
    </r>
    <r>
      <rPr>
        <sz val="9"/>
        <color theme="1"/>
        <rFont val="Palladio Uralic"/>
      </rPr>
      <t>5)</t>
    </r>
  </si>
  <si>
    <t>Distribution and selling costs (11% of manufacturing cost)</t>
  </si>
  <si>
    <t>TOTAL PRODUCT COST</t>
  </si>
  <si>
    <r>
      <t xml:space="preserve">C </t>
    </r>
    <r>
      <rPr>
        <sz val="9"/>
        <color theme="1"/>
        <rFont val="Arial Black"/>
        <family val="2"/>
      </rPr>
      <t xml:space="preserve">+ </t>
    </r>
    <r>
      <rPr>
        <b/>
        <sz val="9"/>
        <color theme="1"/>
        <rFont val="Palladio Uralic"/>
      </rPr>
      <t>D</t>
    </r>
  </si>
  <si>
    <t>Description</t>
  </si>
  <si>
    <t>Construction period</t>
  </si>
  <si>
    <t>Operating Period</t>
  </si>
  <si>
    <t>Cash-In flow</t>
  </si>
  <si>
    <t>Operating Revenue</t>
  </si>
  <si>
    <t>Inventory</t>
  </si>
  <si>
    <t>Cash Outflow</t>
  </si>
  <si>
    <t>Main Investment</t>
  </si>
  <si>
    <t>Operating Cost</t>
  </si>
  <si>
    <t>Total Operating Cost</t>
  </si>
  <si>
    <t>Gross Margin</t>
  </si>
  <si>
    <t>Depreciation</t>
  </si>
  <si>
    <t>Net Cash Flow</t>
  </si>
  <si>
    <t>NPV@12%</t>
  </si>
  <si>
    <t>IRR</t>
  </si>
  <si>
    <t>Caustic Preparation Solution Tank (48% Caustic)</t>
  </si>
  <si>
    <t>Caustic transfer pump</t>
  </si>
  <si>
    <t>ECH Storage Tank</t>
  </si>
  <si>
    <t>ECH Transfer Pump</t>
  </si>
  <si>
    <t>Pre-Reactor</t>
  </si>
  <si>
    <t>Reaction solution Transfer pump</t>
  </si>
  <si>
    <t xml:space="preserve">Reactor </t>
  </si>
  <si>
    <t>Reaction solution Transfer pump 2</t>
  </si>
  <si>
    <t>Distillation Tower for ECH</t>
  </si>
  <si>
    <t>Solvent Storage Tank (Toluene)</t>
  </si>
  <si>
    <t>Solvent transfer pump</t>
  </si>
  <si>
    <t>Washing Tower</t>
  </si>
  <si>
    <t>Gravity Separator</t>
  </si>
  <si>
    <t>Soln Transfer pump</t>
  </si>
  <si>
    <t>Ditillation Tower for Toluene Recovery</t>
  </si>
  <si>
    <t>Soln Transfer pump 2</t>
  </si>
  <si>
    <t>Mixing Tank</t>
  </si>
  <si>
    <t>Product Tank</t>
  </si>
  <si>
    <t>UF/RO System</t>
  </si>
  <si>
    <t>Evaporator (Thin Evaporator &amp; Rotary film thin evaporator) </t>
  </si>
  <si>
    <t>Cooling Tower</t>
  </si>
  <si>
    <t>DG’s, Generator’s</t>
  </si>
  <si>
    <t>DCS System (Instrumentation Item)</t>
  </si>
  <si>
    <t>Equipment list for SER</t>
  </si>
  <si>
    <t>LER Storage tank</t>
  </si>
  <si>
    <t>Remarks</t>
  </si>
  <si>
    <t>Xylene Storage Tank</t>
  </si>
  <si>
    <t>2 Process pump &amp; 2 Standby</t>
  </si>
  <si>
    <t>Feed Pump</t>
  </si>
  <si>
    <t>150m3, SS304</t>
  </si>
  <si>
    <t>Weighing Tank</t>
  </si>
  <si>
    <t>Hoist</t>
  </si>
  <si>
    <t>BPA Hopper</t>
  </si>
  <si>
    <t>Resin Hopper</t>
  </si>
  <si>
    <t>Raw material Hopper</t>
  </si>
  <si>
    <t>BPA Dust Collector</t>
  </si>
  <si>
    <t>Resin hopper</t>
  </si>
  <si>
    <t>Dust Collector</t>
  </si>
  <si>
    <t>Cut Tank</t>
  </si>
  <si>
    <t>Product filter</t>
  </si>
  <si>
    <t>Circle Feeder</t>
  </si>
  <si>
    <t>Crusher</t>
  </si>
  <si>
    <t>Product Dust Collector</t>
  </si>
  <si>
    <t>Product Filter</t>
  </si>
  <si>
    <t>7m2, SS304</t>
  </si>
  <si>
    <t>3-4 Ton/hr, SS304</t>
  </si>
  <si>
    <t>0.2m3, SS304</t>
  </si>
  <si>
    <t>Flaker hopper</t>
  </si>
  <si>
    <t>4,000kg/hr, SS 304</t>
  </si>
  <si>
    <t>4500kg/hr, SS304</t>
  </si>
  <si>
    <t>400 KV</t>
  </si>
  <si>
    <t>PARAMETERS</t>
  </si>
  <si>
    <t>Quantity</t>
  </si>
  <si>
    <t xml:space="preserve">Raw Materials </t>
  </si>
  <si>
    <t>Research and development costs (7% of manufacturing cost)</t>
  </si>
  <si>
    <t>Interest on Short term loan (If any)</t>
  </si>
  <si>
    <t>Maintenance and repairs (7% of fixed-capital investment)</t>
  </si>
  <si>
    <t>All Amount in USD</t>
  </si>
  <si>
    <t>Variable</t>
  </si>
  <si>
    <t>Fixed</t>
  </si>
  <si>
    <t>Rate Of Return</t>
  </si>
  <si>
    <t>ETP Plant</t>
  </si>
  <si>
    <t>800 KD</t>
  </si>
  <si>
    <t>Investment</t>
  </si>
  <si>
    <t>Total Investment</t>
  </si>
  <si>
    <t>Total Cash - Inflow (2+3)</t>
  </si>
  <si>
    <t>Raw Material Cost</t>
  </si>
  <si>
    <t>Labour</t>
  </si>
  <si>
    <t>Raw Material Variable</t>
  </si>
  <si>
    <t>INR</t>
  </si>
  <si>
    <t>Annual Variable Cost (Utility, packaging &amp; selling, Distribution cost)</t>
  </si>
  <si>
    <t>Labour Cost (Operating &amp; Supervisionary labour)</t>
  </si>
  <si>
    <t>Annual Fixed Cost ()</t>
  </si>
  <si>
    <t>Packaging Cost(5% of manufacturing cost)</t>
  </si>
  <si>
    <t>Taxes (%)</t>
  </si>
  <si>
    <t>Category</t>
  </si>
  <si>
    <t>Present Value Factor</t>
  </si>
  <si>
    <t xml:space="preserve">Cumulative Cash Flows </t>
  </si>
  <si>
    <t xml:space="preserve">Pay Back Period </t>
  </si>
  <si>
    <t>Present values</t>
  </si>
  <si>
    <t>Accounts Receivable</t>
  </si>
  <si>
    <t>DSO</t>
  </si>
  <si>
    <t>Days</t>
  </si>
  <si>
    <t>Change in sales/ mth.</t>
  </si>
  <si>
    <t>INR k</t>
  </si>
  <si>
    <t>Change in AR</t>
  </si>
  <si>
    <t>Inventory (Impact of COGS change)</t>
  </si>
  <si>
    <t>DIO (Days Inventory)</t>
  </si>
  <si>
    <t>Change in COGS/ mth.</t>
  </si>
  <si>
    <t>Change in Inv.</t>
  </si>
  <si>
    <t>Accounts Payable</t>
  </si>
  <si>
    <t>DPO</t>
  </si>
  <si>
    <t>Change in payables/ mth.</t>
  </si>
  <si>
    <t>60% of 42 KTA</t>
  </si>
  <si>
    <t>80% of 42 KTA</t>
  </si>
  <si>
    <t>95% of 42 KTA</t>
  </si>
  <si>
    <t>70% of 84 KTA</t>
  </si>
  <si>
    <t>80% of 84 KTA</t>
  </si>
  <si>
    <t>90% of 84 KTA</t>
  </si>
  <si>
    <t>- Qty.</t>
  </si>
  <si>
    <t>-Rate</t>
  </si>
  <si>
    <t>Working Capital Change:</t>
  </si>
  <si>
    <t>Accounts Receivables</t>
  </si>
  <si>
    <t>Accounts Payables</t>
  </si>
  <si>
    <t>95%84 KT</t>
  </si>
  <si>
    <t>Gross Profit</t>
  </si>
  <si>
    <t>Operating Cost :</t>
  </si>
  <si>
    <t xml:space="preserve">Labour </t>
  </si>
  <si>
    <t>Variable Overheads</t>
  </si>
  <si>
    <t>Fixed Overheads</t>
  </si>
  <si>
    <t>Selling Overheads</t>
  </si>
  <si>
    <t>Taxes</t>
  </si>
  <si>
    <t>Cost of Capital</t>
  </si>
  <si>
    <t>Discounted Cash Flow</t>
  </si>
  <si>
    <t>Undiscounted Cash Flow</t>
  </si>
  <si>
    <t>Cummulative Cash Flow</t>
  </si>
  <si>
    <t>NPV</t>
  </si>
  <si>
    <t>Payback Period</t>
  </si>
  <si>
    <r>
      <t xml:space="preserve">C1 </t>
    </r>
    <r>
      <rPr>
        <sz val="9"/>
        <color theme="1"/>
        <rFont val="Arial Black"/>
        <family val="2"/>
      </rPr>
      <t xml:space="preserve">+ </t>
    </r>
    <r>
      <rPr>
        <b/>
        <sz val="9"/>
        <color theme="1"/>
        <rFont val="Palladio Uralic"/>
      </rPr>
      <t xml:space="preserve">C2 </t>
    </r>
    <r>
      <rPr>
        <sz val="9"/>
        <color theme="1"/>
        <rFont val="Arial Black"/>
        <family val="2"/>
      </rPr>
      <t xml:space="preserve">+ </t>
    </r>
    <r>
      <rPr>
        <b/>
        <sz val="9"/>
        <color theme="1"/>
        <rFont val="Palladio Uralic"/>
      </rPr>
      <t>C3+ C4</t>
    </r>
  </si>
  <si>
    <t xml:space="preserve">Raw materials </t>
  </si>
  <si>
    <t>C4</t>
  </si>
  <si>
    <t>Total  Production Cost</t>
  </si>
  <si>
    <t>CAPACITY &amp; MOC</t>
  </si>
  <si>
    <t>Qty</t>
  </si>
  <si>
    <t>m3, SS304</t>
  </si>
  <si>
    <t>m3,PP</t>
  </si>
  <si>
    <t>m3/hr,PP</t>
  </si>
  <si>
    <t>m3/hr, SS304</t>
  </si>
  <si>
    <t xml:space="preserve">For more no of grade, Reactor will be increased accordingly </t>
  </si>
  <si>
    <t>-Rate (LER)</t>
  </si>
  <si>
    <t>-Rate (SER)</t>
  </si>
  <si>
    <t xml:space="preserve">Utilities (calculated) </t>
  </si>
  <si>
    <t>Catalyst &amp; Chemicals</t>
  </si>
  <si>
    <t>Research and development costs (2% of manufacturing cost)</t>
  </si>
  <si>
    <t>Packaging Cost (calculated)</t>
  </si>
  <si>
    <t>Salaries &amp; Wages (calculated)</t>
  </si>
  <si>
    <t>Distribution and selling costs (10% of manufacturing cost)</t>
  </si>
  <si>
    <t>Bisphenol A</t>
  </si>
  <si>
    <t>Epichlorohydrin</t>
  </si>
  <si>
    <t>Utility, Catalyst, Solvent, Labour, Packaging, R &amp; D and Selling &amp; Transportation</t>
  </si>
  <si>
    <t xml:space="preserve">Maintenance and repairs </t>
  </si>
  <si>
    <t>Plant-Overhead Costs</t>
  </si>
  <si>
    <t xml:space="preserve">Administrative costs </t>
  </si>
  <si>
    <t>Total Fixed Cost</t>
  </si>
  <si>
    <t>COST OF PRODUCTION
: Technology 1 (CiBA)</t>
  </si>
  <si>
    <t>COST OF PRODUCTION
: Technology 2 (Tohto Kesai)</t>
  </si>
  <si>
    <t>Total Production Cost (Variable + Fixed Cost)</t>
  </si>
  <si>
    <t>Sub-Total</t>
  </si>
  <si>
    <t>Maintenance and repairs (2.5% of fixed-capital investment)</t>
  </si>
  <si>
    <t>Tohto Kesai</t>
  </si>
  <si>
    <t>CIBA</t>
  </si>
  <si>
    <t>[USD Million]</t>
  </si>
  <si>
    <t>Indigenous</t>
  </si>
  <si>
    <t> 1 Standby &amp; 1 working</t>
  </si>
  <si>
    <t>BPA Hopper (if Solid)</t>
  </si>
  <si>
    <t>BPA  Hopper (if Solid)</t>
  </si>
  <si>
    <t>Auxiliary</t>
  </si>
  <si>
    <t xml:space="preserve">Pre-Reactor </t>
  </si>
  <si>
    <t>Not Required</t>
  </si>
  <si>
    <t>1 Standby &amp; 1 working</t>
  </si>
  <si>
    <t xml:space="preserve"> Filter</t>
  </si>
  <si>
    <t>m2, SS304</t>
  </si>
  <si>
    <t>375m3, SS304</t>
  </si>
  <si>
    <t>110m3, SS304</t>
  </si>
  <si>
    <t>Condenser</t>
  </si>
  <si>
    <t>18m3/hr, SS304</t>
  </si>
  <si>
    <t>14m3, SS304</t>
  </si>
  <si>
    <t>08-12m3, SS304</t>
  </si>
  <si>
    <t>15 m3, SS304/CS</t>
  </si>
  <si>
    <t>1.2m3, SS304</t>
  </si>
  <si>
    <t>7.5m2, SS304</t>
  </si>
  <si>
    <t>15m3, SS304</t>
  </si>
  <si>
    <t>25m3, CS</t>
  </si>
  <si>
    <t>16m3, SS304</t>
  </si>
  <si>
    <t>17m3, SS304</t>
  </si>
  <si>
    <t>25m2, SS304</t>
  </si>
  <si>
    <t>15m3/hr, SS304</t>
  </si>
  <si>
    <t>7.5 ton/hr, SS 304</t>
  </si>
  <si>
    <t xml:space="preserve">Packer </t>
  </si>
  <si>
    <t>Packer</t>
  </si>
  <si>
    <r>
      <rPr>
        <b/>
        <sz val="11"/>
        <color rgb="FF000000"/>
        <rFont val="Calibri"/>
        <family val="2"/>
        <scheme val="minor"/>
      </rPr>
      <t xml:space="preserve"> (25 Kg, 100 Kg, 200Kg, 500 Kg /bag,) </t>
    </r>
    <r>
      <rPr>
        <sz val="11"/>
        <color rgb="FF000000"/>
        <rFont val="Calibri"/>
        <family val="2"/>
        <scheme val="minor"/>
      </rPr>
      <t>SS 304</t>
    </r>
  </si>
  <si>
    <t>40m3/hr, SS314</t>
  </si>
  <si>
    <t>Vent Condenser</t>
  </si>
  <si>
    <t>6m2, SS304</t>
  </si>
  <si>
    <r>
      <rPr>
        <b/>
        <sz val="11"/>
        <color rgb="FF000000"/>
        <rFont val="Calibri"/>
        <family val="2"/>
        <scheme val="minor"/>
      </rPr>
      <t xml:space="preserve"> (25 Kg, 100 Kg, 200Kg, 500 Kg /bag,)</t>
    </r>
    <r>
      <rPr>
        <sz val="11"/>
        <color rgb="FF000000"/>
        <rFont val="Calibri"/>
        <family val="2"/>
        <scheme val="minor"/>
      </rPr>
      <t>, SS 304</t>
    </r>
  </si>
  <si>
    <t>Others</t>
  </si>
  <si>
    <t>TOTAL CAPITAL INVESTMENT (A+B)</t>
  </si>
  <si>
    <t>1.1.</t>
  </si>
  <si>
    <t>Final Total (1.1+1.2+ 1.3)</t>
  </si>
  <si>
    <r>
      <t xml:space="preserve">Plant Overhead Costs (45% of 2 </t>
    </r>
    <r>
      <rPr>
        <sz val="9"/>
        <rFont val="Arial Black"/>
        <family val="2"/>
      </rPr>
      <t xml:space="preserve">+ </t>
    </r>
    <r>
      <rPr>
        <sz val="9"/>
        <rFont val="Palladio Uralic"/>
      </rPr>
      <t xml:space="preserve">3 </t>
    </r>
    <r>
      <rPr>
        <sz val="9"/>
        <rFont val="Arial Black"/>
        <family val="2"/>
      </rPr>
      <t xml:space="preserve">+ </t>
    </r>
    <r>
      <rPr>
        <sz val="9"/>
        <rFont val="Palladio Uralic"/>
      </rPr>
      <t>5)</t>
    </r>
  </si>
  <si>
    <r>
      <t xml:space="preserve">Administrative costs (10% of 2 </t>
    </r>
    <r>
      <rPr>
        <sz val="9"/>
        <rFont val="Arial Black"/>
        <family val="2"/>
      </rPr>
      <t xml:space="preserve">+ </t>
    </r>
    <r>
      <rPr>
        <sz val="9"/>
        <rFont val="Palladio Uralic"/>
      </rPr>
      <t xml:space="preserve">3 </t>
    </r>
    <r>
      <rPr>
        <sz val="9"/>
        <rFont val="Arial Black"/>
        <family val="2"/>
      </rPr>
      <t xml:space="preserve">+ </t>
    </r>
    <r>
      <rPr>
        <sz val="9"/>
        <rFont val="Palladio Uralic"/>
      </rPr>
      <t>5)</t>
    </r>
  </si>
  <si>
    <t>Assumptions and Findings</t>
  </si>
  <si>
    <r>
      <t>1.</t>
    </r>
    <r>
      <rPr>
        <sz val="7"/>
        <color theme="1"/>
        <rFont val="Times New Roman"/>
        <family val="1"/>
      </rPr>
      <t xml:space="preserve">     </t>
    </r>
    <r>
      <rPr>
        <sz val="10"/>
        <color theme="1"/>
        <rFont val="Arial"/>
        <family val="2"/>
      </rPr>
      <t>Solvent recovery in CIBA Technology is quite better than that of Tohto Kesai</t>
    </r>
  </si>
  <si>
    <r>
      <t>2.</t>
    </r>
    <r>
      <rPr>
        <sz val="7"/>
        <color theme="1"/>
        <rFont val="Times New Roman"/>
        <family val="1"/>
      </rPr>
      <t xml:space="preserve">     </t>
    </r>
    <r>
      <rPr>
        <sz val="10"/>
        <color theme="1"/>
        <rFont val="Arial"/>
        <family val="2"/>
      </rPr>
      <t>Catalyst &amp; Chemical cost is higher in Tohto Kesai.</t>
    </r>
  </si>
  <si>
    <r>
      <t>3.</t>
    </r>
    <r>
      <rPr>
        <sz val="7"/>
        <color theme="1"/>
        <rFont val="Times New Roman"/>
        <family val="1"/>
      </rPr>
      <t xml:space="preserve">     </t>
    </r>
    <r>
      <rPr>
        <sz val="10"/>
        <color theme="1"/>
        <rFont val="Arial"/>
        <family val="2"/>
      </rPr>
      <t>Prices of raw material and catalyst for both licensors are moving monthly average of ApReliance Industries Ltd 2019-March 2021 and for liquid epoxy resin.</t>
    </r>
  </si>
  <si>
    <r>
      <t>4.</t>
    </r>
    <r>
      <rPr>
        <sz val="7"/>
        <color theme="1"/>
        <rFont val="Times New Roman"/>
        <family val="1"/>
      </rPr>
      <t xml:space="preserve">     </t>
    </r>
    <r>
      <rPr>
        <sz val="10"/>
        <color theme="1"/>
        <rFont val="Arial"/>
        <family val="2"/>
      </rPr>
      <t>The cost of power used by the plant considered as INR5.50 per kWh. Further, the companies interviewed were grid connected for their power requirements. Tariff of electricity was derived from public documents of manufacturers and power distribution companies.</t>
    </r>
  </si>
  <si>
    <r>
      <t>5.</t>
    </r>
    <r>
      <rPr>
        <sz val="7"/>
        <color theme="1"/>
        <rFont val="Times New Roman"/>
        <family val="1"/>
      </rPr>
      <t xml:space="preserve">     </t>
    </r>
    <r>
      <rPr>
        <sz val="10"/>
        <color theme="1"/>
        <rFont val="Arial"/>
        <family val="2"/>
      </rPr>
      <t>The other utilities mainly include raw water, and its cost has been taken as INR1.25 per m3</t>
    </r>
  </si>
  <si>
    <r>
      <t>6.</t>
    </r>
    <r>
      <rPr>
        <sz val="7"/>
        <color theme="1"/>
        <rFont val="Times New Roman"/>
        <family val="1"/>
      </rPr>
      <t xml:space="preserve">     </t>
    </r>
    <r>
      <rPr>
        <sz val="10"/>
        <color theme="1"/>
        <rFont val="Arial"/>
        <family val="2"/>
      </rPr>
      <t xml:space="preserve">Per kg costs for the fixed items are calculated based on primary research. Further, Repair and maintenance cost is 2.5% of plant &amp; machinery cost. Interest on working capital is around 10% and depreciation has been calculated based on 10 years.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</si>
</sst>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3" formatCode="_ * #,##0.00_ ;_ * \-#,##0.00_ ;_ * &quot;-&quot;??_ ;_ @_ "/>
    <numFmt numFmtId="164" formatCode="_(* #,##0.00_);_(* \(#,##0.00\);_(* &quot;-&quot;??_);_(@_)"/>
    <numFmt numFmtId="165" formatCode="0.0"/>
    <numFmt numFmtId="166" formatCode="_ * #,##0_ ;_ * \-#,##0_ ;_ * &quot;-&quot;??_ ;_ @_ "/>
    <numFmt numFmtId="167" formatCode="_(* #,##0_);_(* \(#,##0\);_(* &quot;-&quot;??_);_(@_)"/>
    <numFmt numFmtId="168" formatCode="#,##0.000"/>
    <numFmt numFmtId="169" formatCode="0.000"/>
  </numFmts>
  <fonts count="35">
    <font>
      <sz val="11"/>
      <color theme="1"/>
      <name val="Calibri"/>
      <family val="2"/>
      <scheme val="minor"/>
    </font>
    <font>
      <sz val="11"/>
      <color theme="1"/>
      <name val="Calibri"/>
      <family val="2"/>
      <scheme val="minor"/>
    </font>
    <font>
      <b/>
      <sz val="11"/>
      <color theme="1"/>
      <name val="Calibri"/>
      <family val="2"/>
      <scheme val="minor"/>
    </font>
    <font>
      <sz val="11"/>
      <color theme="1"/>
      <name val="Palladio Uralic"/>
    </font>
    <font>
      <sz val="9"/>
      <color theme="1"/>
      <name val="Times New Roman"/>
      <family val="1"/>
    </font>
    <font>
      <b/>
      <sz val="9"/>
      <color theme="1"/>
      <name val="Palladio Uralic"/>
    </font>
    <font>
      <sz val="9"/>
      <color theme="1"/>
      <name val="Arial Black"/>
      <family val="2"/>
    </font>
    <font>
      <sz val="9"/>
      <color theme="1"/>
      <name val="Palladio Uralic"/>
    </font>
    <font>
      <sz val="10"/>
      <color theme="1"/>
      <name val="Palladio Uralic"/>
    </font>
    <font>
      <u/>
      <sz val="11"/>
      <color theme="10"/>
      <name val="Calibri"/>
      <family val="2"/>
      <scheme val="minor"/>
    </font>
    <font>
      <sz val="8"/>
      <color rgb="FF000000"/>
      <name val="Calibri"/>
      <family val="2"/>
    </font>
    <font>
      <b/>
      <sz val="8"/>
      <color rgb="FF000000"/>
      <name val="Times New Roman"/>
      <family val="1"/>
    </font>
    <font>
      <sz val="11"/>
      <color rgb="FF000000"/>
      <name val="Calibri"/>
      <family val="2"/>
      <scheme val="minor"/>
    </font>
    <font>
      <b/>
      <sz val="11"/>
      <color rgb="FF000000"/>
      <name val="Calibri"/>
      <family val="2"/>
      <scheme val="minor"/>
    </font>
    <font>
      <sz val="9"/>
      <color indexed="81"/>
      <name val="Tahoma"/>
      <family val="2"/>
    </font>
    <font>
      <b/>
      <sz val="9"/>
      <color indexed="81"/>
      <name val="Tahoma"/>
      <family val="2"/>
    </font>
    <font>
      <b/>
      <sz val="11"/>
      <color theme="0"/>
      <name val="Calibri"/>
      <family val="2"/>
      <scheme val="minor"/>
    </font>
    <font>
      <sz val="11"/>
      <color theme="0"/>
      <name val="Calibri"/>
      <family val="2"/>
      <scheme val="minor"/>
    </font>
    <font>
      <b/>
      <sz val="10"/>
      <name val="Arial"/>
      <family val="2"/>
    </font>
    <font>
      <sz val="10"/>
      <name val="Arial"/>
      <family val="2"/>
    </font>
    <font>
      <b/>
      <sz val="11"/>
      <name val="Calibri"/>
      <family val="2"/>
      <scheme val="minor"/>
    </font>
    <font>
      <b/>
      <i/>
      <sz val="11"/>
      <color rgb="FF000000"/>
      <name val="Calibri"/>
      <family val="2"/>
      <scheme val="minor"/>
    </font>
    <font>
      <b/>
      <sz val="9"/>
      <color rgb="FFFF0000"/>
      <name val="Palladio Uralic"/>
    </font>
    <font>
      <sz val="9"/>
      <color rgb="FFFF0000"/>
      <name val="Palladio Uralic"/>
    </font>
    <font>
      <sz val="9"/>
      <color rgb="FF000000"/>
      <name val="Times New Roman"/>
      <family val="1"/>
    </font>
    <font>
      <b/>
      <sz val="8"/>
      <color rgb="FF000000"/>
      <name val="Palladio Uralic"/>
    </font>
    <font>
      <b/>
      <sz val="12"/>
      <color theme="1"/>
      <name val="Arial"/>
      <family val="2"/>
    </font>
    <font>
      <sz val="12"/>
      <color theme="0"/>
      <name val="Calibri"/>
      <family val="2"/>
      <scheme val="minor"/>
    </font>
    <font>
      <b/>
      <sz val="9"/>
      <color rgb="FF000000"/>
      <name val="Times New Roman"/>
      <family val="1"/>
    </font>
    <font>
      <sz val="9"/>
      <name val="Palladio Uralic"/>
    </font>
    <font>
      <sz val="9"/>
      <name val="Arial Black"/>
      <family val="2"/>
    </font>
    <font>
      <b/>
      <sz val="9"/>
      <name val="Palladio Uralic"/>
    </font>
    <font>
      <b/>
      <i/>
      <u/>
      <sz val="11"/>
      <color theme="1"/>
      <name val="Arial"/>
      <family val="2"/>
    </font>
    <font>
      <sz val="10"/>
      <color theme="1"/>
      <name val="Arial"/>
      <family val="2"/>
    </font>
    <font>
      <sz val="7"/>
      <color theme="1"/>
      <name val="Times New Roman"/>
      <family val="1"/>
    </font>
  </fonts>
  <fills count="23">
    <fill>
      <patternFill patternType="none"/>
    </fill>
    <fill>
      <patternFill patternType="gray125"/>
    </fill>
    <fill>
      <patternFill patternType="solid">
        <fgColor rgb="FFFFFF00"/>
        <bgColor indexed="64"/>
      </patternFill>
    </fill>
    <fill>
      <patternFill patternType="solid">
        <fgColor rgb="FFFF0000"/>
        <bgColor indexed="64"/>
      </patternFill>
    </fill>
    <fill>
      <patternFill patternType="solid">
        <fgColor theme="4" tint="0.39997558519241921"/>
        <bgColor indexed="64"/>
      </patternFill>
    </fill>
    <fill>
      <patternFill patternType="solid">
        <fgColor theme="2" tint="-9.9978637043366805E-2"/>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4"/>
      </patternFill>
    </fill>
    <fill>
      <patternFill patternType="solid">
        <fgColor theme="7" tint="-0.499984740745262"/>
        <bgColor indexed="64"/>
      </patternFill>
    </fill>
    <fill>
      <patternFill patternType="solid">
        <fgColor theme="5" tint="-0.499984740745262"/>
        <bgColor indexed="64"/>
      </patternFill>
    </fill>
    <fill>
      <patternFill patternType="solid">
        <fgColor rgb="FFFFC000"/>
        <bgColor indexed="64"/>
      </patternFill>
    </fill>
    <fill>
      <patternFill patternType="solid">
        <fgColor indexed="9"/>
        <bgColor indexed="64"/>
      </patternFill>
    </fill>
    <fill>
      <patternFill patternType="solid">
        <fgColor theme="8"/>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rgb="FFC6E0B4"/>
        <bgColor indexed="64"/>
      </patternFill>
    </fill>
    <fill>
      <patternFill patternType="solid">
        <fgColor rgb="FFFFFFFF"/>
        <bgColor indexed="64"/>
      </patternFill>
    </fill>
    <fill>
      <patternFill patternType="solid">
        <fgColor rgb="FF9CC2E5"/>
        <bgColor indexed="64"/>
      </patternFill>
    </fill>
    <fill>
      <patternFill patternType="solid">
        <fgColor rgb="FF7030A0"/>
        <bgColor indexed="64"/>
      </patternFill>
    </fill>
  </fills>
  <borders count="34">
    <border>
      <left/>
      <right/>
      <top/>
      <bottom/>
      <diagonal/>
    </border>
    <border>
      <left style="thin">
        <color indexed="64"/>
      </left>
      <right style="thin">
        <color indexed="64"/>
      </right>
      <top style="thin">
        <color indexed="64"/>
      </top>
      <bottom style="thin">
        <color indexed="64"/>
      </bottom>
      <diagonal/>
    </border>
    <border>
      <left/>
      <right/>
      <top style="medium">
        <color rgb="FF000000"/>
      </top>
      <bottom style="medium">
        <color rgb="FF000000"/>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medium">
        <color indexed="64"/>
      </left>
      <right style="thin">
        <color indexed="64"/>
      </right>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right/>
      <top/>
      <bottom style="medium">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6">
    <xf numFmtId="0" fontId="0" fillId="0" borderId="0"/>
    <xf numFmtId="9" fontId="1" fillId="0" borderId="0" applyFont="0" applyFill="0" applyBorder="0" applyAlignment="0" applyProtection="0"/>
    <xf numFmtId="43" fontId="1" fillId="0" borderId="0" applyFont="0" applyFill="0" applyBorder="0" applyAlignment="0" applyProtection="0"/>
    <xf numFmtId="0" fontId="9" fillId="0" borderId="0" applyNumberFormat="0" applyFill="0" applyBorder="0" applyAlignment="0" applyProtection="0"/>
    <xf numFmtId="0" fontId="17" fillId="11" borderId="0" applyNumberFormat="0" applyBorder="0" applyAlignment="0" applyProtection="0"/>
    <xf numFmtId="164" fontId="1" fillId="0" borderId="0" applyFont="0" applyFill="0" applyBorder="0" applyAlignment="0" applyProtection="0"/>
  </cellStyleXfs>
  <cellXfs count="225">
    <xf numFmtId="0" fontId="0" fillId="0" borderId="0" xfId="0"/>
    <xf numFmtId="0" fontId="0" fillId="0" borderId="0" xfId="0" applyBorder="1"/>
    <xf numFmtId="0" fontId="0" fillId="0" borderId="1" xfId="0" applyBorder="1"/>
    <xf numFmtId="0" fontId="4" fillId="0" borderId="2" xfId="0" applyFont="1" applyBorder="1" applyAlignment="1">
      <alignment vertical="center" wrapText="1"/>
    </xf>
    <xf numFmtId="3" fontId="0" fillId="0" borderId="0" xfId="0" applyNumberFormat="1"/>
    <xf numFmtId="0" fontId="5" fillId="0" borderId="2" xfId="0" applyFont="1" applyBorder="1" applyAlignment="1">
      <alignment horizontal="left" vertical="center" wrapText="1" indent="1"/>
    </xf>
    <xf numFmtId="0" fontId="5" fillId="0" borderId="0" xfId="0" applyFont="1" applyAlignment="1">
      <alignment horizontal="center" vertical="center" wrapText="1"/>
    </xf>
    <xf numFmtId="0" fontId="5" fillId="0" borderId="0" xfId="0" applyFont="1" applyAlignment="1">
      <alignment horizontal="left" vertical="center" wrapText="1" indent="1"/>
    </xf>
    <xf numFmtId="0" fontId="8" fillId="0" borderId="0" xfId="0" applyFont="1" applyAlignment="1">
      <alignment vertical="center"/>
    </xf>
    <xf numFmtId="0" fontId="3" fillId="0" borderId="0" xfId="0" applyFont="1" applyAlignment="1">
      <alignment vertical="center"/>
    </xf>
    <xf numFmtId="0" fontId="5" fillId="0" borderId="2" xfId="0" applyFont="1" applyBorder="1" applyAlignment="1">
      <alignment horizontal="right" vertical="center" wrapText="1"/>
    </xf>
    <xf numFmtId="3" fontId="5" fillId="0" borderId="0" xfId="0" applyNumberFormat="1" applyFont="1" applyAlignment="1">
      <alignment horizontal="right" vertical="center" wrapText="1"/>
    </xf>
    <xf numFmtId="0" fontId="0" fillId="5" borderId="5" xfId="0" applyFill="1" applyBorder="1"/>
    <xf numFmtId="0" fontId="0" fillId="4" borderId="3" xfId="0" applyFill="1" applyBorder="1"/>
    <xf numFmtId="0" fontId="0" fillId="5" borderId="6" xfId="0" applyFill="1" applyBorder="1" applyAlignment="1">
      <alignment horizontal="center"/>
    </xf>
    <xf numFmtId="0" fontId="0" fillId="5" borderId="9" xfId="0" applyFill="1" applyBorder="1"/>
    <xf numFmtId="0" fontId="0" fillId="6" borderId="4" xfId="0" applyFill="1" applyBorder="1"/>
    <xf numFmtId="0" fontId="0" fillId="6" borderId="1" xfId="0" applyFill="1" applyBorder="1"/>
    <xf numFmtId="0" fontId="10" fillId="0" borderId="3" xfId="0" applyFont="1" applyBorder="1" applyAlignment="1">
      <alignment horizontal="center" vertical="center"/>
    </xf>
    <xf numFmtId="0" fontId="10" fillId="0" borderId="10" xfId="0" applyFont="1" applyBorder="1" applyAlignment="1">
      <alignment horizontal="center" vertical="center"/>
    </xf>
    <xf numFmtId="0" fontId="10" fillId="0" borderId="10" xfId="0" applyFont="1" applyBorder="1" applyAlignment="1">
      <alignment horizontal="center" vertical="center" wrapText="1"/>
    </xf>
    <xf numFmtId="0" fontId="10" fillId="0" borderId="11" xfId="0" applyFont="1" applyBorder="1" applyAlignment="1">
      <alignment vertical="center"/>
    </xf>
    <xf numFmtId="0" fontId="10" fillId="0" borderId="12" xfId="0" applyFont="1" applyBorder="1" applyAlignment="1">
      <alignment vertical="center"/>
    </xf>
    <xf numFmtId="0" fontId="10" fillId="0" borderId="12" xfId="0" applyFont="1" applyBorder="1" applyAlignment="1">
      <alignment vertical="center" wrapText="1"/>
    </xf>
    <xf numFmtId="0" fontId="10" fillId="0" borderId="12" xfId="0" applyFont="1" applyBorder="1" applyAlignment="1">
      <alignment horizontal="right" vertical="center" wrapText="1"/>
    </xf>
    <xf numFmtId="0" fontId="10" fillId="0" borderId="11" xfId="0" applyFont="1" applyBorder="1" applyAlignment="1">
      <alignment horizontal="right" vertical="center"/>
    </xf>
    <xf numFmtId="0" fontId="10" fillId="0" borderId="12" xfId="0" applyFont="1" applyBorder="1" applyAlignment="1">
      <alignment horizontal="right" vertical="center"/>
    </xf>
    <xf numFmtId="0" fontId="11" fillId="0" borderId="12" xfId="0" applyFont="1" applyBorder="1" applyAlignment="1">
      <alignment vertical="center"/>
    </xf>
    <xf numFmtId="0" fontId="11" fillId="0" borderId="12" xfId="0" applyFont="1" applyBorder="1" applyAlignment="1">
      <alignment horizontal="right" vertical="center" wrapText="1"/>
    </xf>
    <xf numFmtId="0" fontId="12" fillId="0" borderId="11" xfId="0" applyFont="1" applyBorder="1" applyAlignment="1">
      <alignment horizontal="center" vertical="center"/>
    </xf>
    <xf numFmtId="0" fontId="5" fillId="0" borderId="1" xfId="0" applyFont="1" applyBorder="1" applyAlignment="1">
      <alignment horizontal="center" vertical="center" wrapText="1"/>
    </xf>
    <xf numFmtId="0" fontId="5" fillId="0" borderId="1" xfId="0" applyFont="1" applyBorder="1" applyAlignment="1">
      <alignment horizontal="left" vertical="center" wrapText="1" indent="1"/>
    </xf>
    <xf numFmtId="0" fontId="7" fillId="0" borderId="1" xfId="0" applyFont="1" applyBorder="1" applyAlignment="1">
      <alignment horizontal="center" vertical="center" wrapText="1"/>
    </xf>
    <xf numFmtId="0" fontId="7" fillId="0" borderId="1" xfId="0" applyFont="1" applyBorder="1" applyAlignment="1">
      <alignment horizontal="left" vertical="center" wrapText="1" indent="1"/>
    </xf>
    <xf numFmtId="0" fontId="10" fillId="0" borderId="0" xfId="0" applyFont="1" applyFill="1" applyBorder="1" applyAlignment="1">
      <alignment horizontal="right" vertical="center"/>
    </xf>
    <xf numFmtId="0" fontId="2" fillId="6" borderId="1" xfId="0" applyFont="1" applyFill="1" applyBorder="1"/>
    <xf numFmtId="3" fontId="10" fillId="0" borderId="12" xfId="0" applyNumberFormat="1" applyFont="1" applyBorder="1" applyAlignment="1">
      <alignment horizontal="right" vertical="center"/>
    </xf>
    <xf numFmtId="0" fontId="7" fillId="7" borderId="1" xfId="0" applyFont="1" applyFill="1" applyBorder="1" applyAlignment="1">
      <alignment horizontal="center" vertical="center" wrapText="1"/>
    </xf>
    <xf numFmtId="0" fontId="7" fillId="7" borderId="1" xfId="0" applyFont="1" applyFill="1" applyBorder="1" applyAlignment="1">
      <alignment horizontal="left" vertical="center" wrapText="1" indent="1"/>
    </xf>
    <xf numFmtId="3" fontId="7" fillId="7" borderId="1" xfId="0" applyNumberFormat="1" applyFont="1" applyFill="1" applyBorder="1" applyAlignment="1">
      <alignment horizontal="right" vertical="center" wrapText="1"/>
    </xf>
    <xf numFmtId="3" fontId="7" fillId="0" borderId="1" xfId="0" applyNumberFormat="1" applyFont="1" applyBorder="1" applyAlignment="1">
      <alignment horizontal="right" vertical="center" wrapText="1"/>
    </xf>
    <xf numFmtId="10" fontId="7" fillId="0" borderId="1" xfId="0" applyNumberFormat="1" applyFont="1" applyBorder="1" applyAlignment="1">
      <alignment horizontal="center" vertical="center" wrapText="1"/>
    </xf>
    <xf numFmtId="10" fontId="7" fillId="7" borderId="1" xfId="0" applyNumberFormat="1" applyFont="1" applyFill="1" applyBorder="1" applyAlignment="1">
      <alignment horizontal="center" vertical="center" wrapText="1"/>
    </xf>
    <xf numFmtId="0" fontId="5" fillId="8" borderId="1" xfId="0" applyFont="1" applyFill="1" applyBorder="1" applyAlignment="1">
      <alignment horizontal="center" vertical="center" wrapText="1"/>
    </xf>
    <xf numFmtId="0" fontId="5" fillId="8" borderId="1" xfId="0" applyFont="1" applyFill="1" applyBorder="1" applyAlignment="1">
      <alignment horizontal="left" vertical="center" wrapText="1" indent="1"/>
    </xf>
    <xf numFmtId="3" fontId="5" fillId="8" borderId="1" xfId="0" applyNumberFormat="1" applyFont="1" applyFill="1" applyBorder="1" applyAlignment="1">
      <alignment horizontal="right" vertical="center" wrapText="1"/>
    </xf>
    <xf numFmtId="0" fontId="4" fillId="0" borderId="1" xfId="0" applyFont="1" applyBorder="1" applyAlignment="1">
      <alignment vertical="center" wrapText="1"/>
    </xf>
    <xf numFmtId="3" fontId="5" fillId="0" borderId="1" xfId="0" applyNumberFormat="1" applyFont="1" applyBorder="1" applyAlignment="1">
      <alignment horizontal="right" vertical="center" wrapText="1"/>
    </xf>
    <xf numFmtId="43" fontId="0" fillId="0" borderId="0" xfId="2" applyFont="1"/>
    <xf numFmtId="0" fontId="7" fillId="4" borderId="1" xfId="0" applyFont="1" applyFill="1" applyBorder="1" applyAlignment="1">
      <alignment horizontal="center" vertical="center" wrapText="1"/>
    </xf>
    <xf numFmtId="0" fontId="5" fillId="4" borderId="1" xfId="0" applyFont="1" applyFill="1" applyBorder="1" applyAlignment="1">
      <alignment horizontal="center" vertical="center" wrapText="1"/>
    </xf>
    <xf numFmtId="10" fontId="11" fillId="3" borderId="11" xfId="0" applyNumberFormat="1" applyFont="1" applyFill="1" applyBorder="1" applyAlignment="1">
      <alignment horizontal="right" vertical="center"/>
    </xf>
    <xf numFmtId="0" fontId="0" fillId="0" borderId="22" xfId="0" applyBorder="1"/>
    <xf numFmtId="166" fontId="11" fillId="3" borderId="11" xfId="2" applyNumberFormat="1" applyFont="1" applyFill="1" applyBorder="1" applyAlignment="1">
      <alignment horizontal="right" vertical="center"/>
    </xf>
    <xf numFmtId="166" fontId="10" fillId="0" borderId="12" xfId="2" applyNumberFormat="1" applyFont="1" applyBorder="1" applyAlignment="1">
      <alignment vertical="center"/>
    </xf>
    <xf numFmtId="3" fontId="10" fillId="0" borderId="11" xfId="0" applyNumberFormat="1" applyFont="1" applyBorder="1" applyAlignment="1">
      <alignment horizontal="right" vertical="center"/>
    </xf>
    <xf numFmtId="0" fontId="11" fillId="0" borderId="0" xfId="0" applyFont="1" applyBorder="1" applyAlignment="1">
      <alignment vertical="center"/>
    </xf>
    <xf numFmtId="0" fontId="11" fillId="0" borderId="0" xfId="0" applyFont="1" applyBorder="1" applyAlignment="1">
      <alignment horizontal="right" vertical="center" wrapText="1"/>
    </xf>
    <xf numFmtId="166" fontId="10" fillId="0" borderId="11" xfId="2" applyNumberFormat="1" applyFont="1" applyBorder="1" applyAlignment="1">
      <alignment horizontal="right" vertical="center"/>
    </xf>
    <xf numFmtId="166" fontId="10" fillId="0" borderId="12" xfId="2" applyNumberFormat="1" applyFont="1" applyBorder="1" applyAlignment="1">
      <alignment horizontal="right" vertical="center"/>
    </xf>
    <xf numFmtId="166" fontId="10" fillId="0" borderId="11" xfId="0" applyNumberFormat="1" applyFont="1" applyBorder="1" applyAlignment="1">
      <alignment horizontal="right" vertical="center"/>
    </xf>
    <xf numFmtId="166" fontId="10" fillId="0" borderId="12" xfId="0" applyNumberFormat="1" applyFont="1" applyBorder="1" applyAlignment="1">
      <alignment horizontal="right" vertical="center"/>
    </xf>
    <xf numFmtId="3" fontId="10" fillId="0" borderId="12" xfId="0" applyNumberFormat="1" applyFont="1" applyBorder="1" applyAlignment="1">
      <alignment vertical="center"/>
    </xf>
    <xf numFmtId="2" fontId="11" fillId="3" borderId="3" xfId="0" applyNumberFormat="1" applyFont="1" applyFill="1" applyBorder="1" applyAlignment="1">
      <alignment horizontal="right" vertical="center"/>
    </xf>
    <xf numFmtId="0" fontId="2" fillId="0" borderId="1" xfId="0" applyFont="1" applyBorder="1"/>
    <xf numFmtId="0" fontId="2" fillId="0" borderId="23" xfId="0" applyFont="1" applyBorder="1"/>
    <xf numFmtId="0" fontId="2" fillId="0" borderId="23" xfId="0" applyFont="1" applyFill="1" applyBorder="1"/>
    <xf numFmtId="0" fontId="2" fillId="0" borderId="1" xfId="3" applyFont="1" applyBorder="1"/>
    <xf numFmtId="9" fontId="2" fillId="3" borderId="3" xfId="0" applyNumberFormat="1" applyFont="1" applyFill="1" applyBorder="1"/>
    <xf numFmtId="0" fontId="0" fillId="0" borderId="0" xfId="0" applyAlignment="1">
      <alignment horizontal="center"/>
    </xf>
    <xf numFmtId="0" fontId="16" fillId="11" borderId="1" xfId="4" applyFont="1" applyBorder="1" applyAlignment="1">
      <alignment horizontal="center" vertical="center"/>
    </xf>
    <xf numFmtId="0" fontId="16" fillId="11" borderId="1" xfId="4" applyFont="1" applyBorder="1" applyAlignment="1">
      <alignment horizontal="center" vertical="center" wrapText="1"/>
    </xf>
    <xf numFmtId="9" fontId="10" fillId="0" borderId="12" xfId="0" applyNumberFormat="1" applyFont="1" applyBorder="1" applyAlignment="1">
      <alignment horizontal="right" vertical="center"/>
    </xf>
    <xf numFmtId="43" fontId="10" fillId="0" borderId="12" xfId="2" applyNumberFormat="1" applyFont="1" applyBorder="1" applyAlignment="1">
      <alignment horizontal="right" vertical="center"/>
    </xf>
    <xf numFmtId="0" fontId="0" fillId="0" borderId="1" xfId="0" quotePrefix="1" applyBorder="1"/>
    <xf numFmtId="3" fontId="13" fillId="0" borderId="1" xfId="0" applyNumberFormat="1" applyFont="1" applyBorder="1" applyAlignment="1">
      <alignment horizontal="right" vertical="center"/>
    </xf>
    <xf numFmtId="43" fontId="10" fillId="0" borderId="0" xfId="2" applyNumberFormat="1" applyFont="1" applyBorder="1" applyAlignment="1">
      <alignment horizontal="right" vertical="center"/>
    </xf>
    <xf numFmtId="1" fontId="10" fillId="0" borderId="12" xfId="0" applyNumberFormat="1" applyFont="1" applyBorder="1" applyAlignment="1">
      <alignment vertical="center"/>
    </xf>
    <xf numFmtId="0" fontId="2" fillId="0" borderId="0" xfId="0" applyFont="1"/>
    <xf numFmtId="0" fontId="16" fillId="0" borderId="1" xfId="4" applyFont="1" applyFill="1" applyBorder="1" applyAlignment="1">
      <alignment horizontal="center" vertical="center"/>
    </xf>
    <xf numFmtId="0" fontId="16" fillId="0" borderId="1" xfId="4" applyFont="1" applyFill="1" applyBorder="1" applyAlignment="1">
      <alignment horizontal="center" vertical="center" wrapText="1"/>
    </xf>
    <xf numFmtId="0" fontId="2" fillId="0" borderId="1" xfId="0" applyFont="1" applyBorder="1" applyAlignment="1">
      <alignment horizontal="center"/>
    </xf>
    <xf numFmtId="9" fontId="12" fillId="0" borderId="1" xfId="1" applyFont="1" applyBorder="1" applyAlignment="1">
      <alignment horizontal="center" vertical="center"/>
    </xf>
    <xf numFmtId="2" fontId="0" fillId="0" borderId="0" xfId="0" applyNumberFormat="1"/>
    <xf numFmtId="38" fontId="0" fillId="15" borderId="1" xfId="5" applyNumberFormat="1" applyFont="1" applyFill="1" applyBorder="1" applyAlignment="1">
      <alignment horizontal="center"/>
    </xf>
    <xf numFmtId="3" fontId="12" fillId="0" borderId="0" xfId="0" applyNumberFormat="1" applyFont="1" applyAlignment="1">
      <alignment horizontal="right" vertical="center"/>
    </xf>
    <xf numFmtId="40" fontId="0" fillId="15" borderId="0" xfId="5" applyNumberFormat="1" applyFont="1" applyFill="1" applyBorder="1" applyAlignment="1">
      <alignment horizontal="right"/>
    </xf>
    <xf numFmtId="164" fontId="0" fillId="15" borderId="0" xfId="5" applyFont="1" applyFill="1" applyBorder="1" applyAlignment="1">
      <alignment horizontal="right"/>
    </xf>
    <xf numFmtId="10" fontId="0" fillId="0" borderId="0" xfId="0" applyNumberFormat="1"/>
    <xf numFmtId="0" fontId="12" fillId="0" borderId="0" xfId="0" applyFont="1" applyAlignment="1">
      <alignment horizontal="center" vertical="center" wrapText="1"/>
    </xf>
    <xf numFmtId="10" fontId="12" fillId="0" borderId="0" xfId="0" applyNumberFormat="1" applyFont="1" applyAlignment="1">
      <alignment horizontal="center" vertical="center" wrapText="1"/>
    </xf>
    <xf numFmtId="0" fontId="13" fillId="0" borderId="0" xfId="0" applyFont="1" applyAlignment="1">
      <alignment horizontal="center" vertical="center" wrapText="1"/>
    </xf>
    <xf numFmtId="0" fontId="5" fillId="14" borderId="1" xfId="0" applyFont="1" applyFill="1" applyBorder="1" applyAlignment="1">
      <alignment horizontal="center" vertical="center" wrapText="1"/>
    </xf>
    <xf numFmtId="0" fontId="5" fillId="14" borderId="1" xfId="0" applyFont="1" applyFill="1" applyBorder="1" applyAlignment="1">
      <alignment horizontal="left" vertical="center" wrapText="1" indent="1"/>
    </xf>
    <xf numFmtId="0" fontId="0" fillId="0" borderId="0" xfId="0" applyAlignment="1">
      <alignment horizontal="center"/>
    </xf>
    <xf numFmtId="0" fontId="0" fillId="0" borderId="1" xfId="0" applyBorder="1" applyAlignment="1">
      <alignment horizontal="center"/>
    </xf>
    <xf numFmtId="0" fontId="12" fillId="0" borderId="12" xfId="0" applyFont="1" applyBorder="1" applyAlignment="1">
      <alignment horizontal="center" vertical="center" wrapText="1"/>
    </xf>
    <xf numFmtId="0" fontId="12" fillId="20" borderId="11" xfId="0" applyFont="1" applyFill="1" applyBorder="1" applyAlignment="1">
      <alignment horizontal="center" vertical="center"/>
    </xf>
    <xf numFmtId="0" fontId="12" fillId="21" borderId="11" xfId="0" applyFont="1" applyFill="1" applyBorder="1" applyAlignment="1">
      <alignment horizontal="center" vertical="center"/>
    </xf>
    <xf numFmtId="0" fontId="12" fillId="21" borderId="12" xfId="0" applyFont="1" applyFill="1" applyBorder="1" applyAlignment="1">
      <alignment horizontal="center" vertical="center" wrapText="1"/>
    </xf>
    <xf numFmtId="0" fontId="12" fillId="17" borderId="12" xfId="0" applyFont="1" applyFill="1" applyBorder="1" applyAlignment="1">
      <alignment horizontal="center" vertical="center" wrapText="1"/>
    </xf>
    <xf numFmtId="0" fontId="13" fillId="0" borderId="12" xfId="0" applyFont="1" applyBorder="1" applyAlignment="1">
      <alignment horizontal="center" vertical="center" wrapText="1"/>
    </xf>
    <xf numFmtId="0" fontId="26" fillId="0" borderId="0" xfId="0" applyFont="1" applyAlignment="1">
      <alignment horizontal="justify" vertical="center"/>
    </xf>
    <xf numFmtId="0" fontId="25" fillId="19" borderId="18" xfId="0" applyFont="1" applyFill="1" applyBorder="1" applyAlignment="1">
      <alignment horizontal="center" vertical="center" wrapText="1"/>
    </xf>
    <xf numFmtId="0" fontId="25" fillId="19" borderId="12" xfId="0" applyFont="1" applyFill="1" applyBorder="1" applyAlignment="1">
      <alignment horizontal="center" vertical="center" wrapText="1"/>
    </xf>
    <xf numFmtId="0" fontId="12" fillId="20" borderId="12" xfId="0" applyFont="1" applyFill="1" applyBorder="1" applyAlignment="1">
      <alignment horizontal="center" vertical="center" wrapText="1"/>
    </xf>
    <xf numFmtId="0" fontId="13" fillId="21" borderId="12" xfId="0" applyFont="1" applyFill="1" applyBorder="1" applyAlignment="1">
      <alignment horizontal="center" vertical="center" wrapText="1"/>
    </xf>
    <xf numFmtId="0" fontId="0" fillId="21" borderId="12" xfId="0" applyFill="1" applyBorder="1" applyAlignment="1">
      <alignment horizontal="center" vertical="center" wrapText="1"/>
    </xf>
    <xf numFmtId="0" fontId="12" fillId="0" borderId="11" xfId="0" applyFont="1" applyBorder="1" applyAlignment="1">
      <alignment horizontal="center" vertical="center" wrapText="1"/>
    </xf>
    <xf numFmtId="0" fontId="12" fillId="21" borderId="11" xfId="0" applyFont="1" applyFill="1" applyBorder="1" applyAlignment="1">
      <alignment horizontal="center" vertical="center" wrapText="1"/>
    </xf>
    <xf numFmtId="0" fontId="0" fillId="0" borderId="12" xfId="0" applyBorder="1" applyAlignment="1">
      <alignment horizontal="center"/>
    </xf>
    <xf numFmtId="0" fontId="12" fillId="17" borderId="11" xfId="0" applyFont="1" applyFill="1" applyBorder="1" applyAlignment="1">
      <alignment horizontal="center" vertical="center" wrapText="1"/>
    </xf>
    <xf numFmtId="0" fontId="5" fillId="10" borderId="1" xfId="0" applyFont="1" applyFill="1" applyBorder="1" applyAlignment="1">
      <alignment horizontal="center" vertical="center" wrapText="1"/>
    </xf>
    <xf numFmtId="0" fontId="5" fillId="10" borderId="29" xfId="0" applyFont="1" applyFill="1" applyBorder="1" applyAlignment="1">
      <alignment horizontal="center" vertical="center" wrapText="1"/>
    </xf>
    <xf numFmtId="3" fontId="5" fillId="10" borderId="30" xfId="0" applyNumberFormat="1" applyFont="1" applyFill="1" applyBorder="1" applyAlignment="1">
      <alignment horizontal="center" vertical="center" wrapText="1"/>
    </xf>
    <xf numFmtId="0" fontId="7" fillId="4" borderId="29" xfId="0" applyFont="1" applyFill="1" applyBorder="1" applyAlignment="1">
      <alignment horizontal="center" vertical="center" wrapText="1"/>
    </xf>
    <xf numFmtId="3" fontId="7" fillId="4" borderId="30" xfId="0" applyNumberFormat="1" applyFont="1" applyFill="1" applyBorder="1" applyAlignment="1">
      <alignment horizontal="center" vertical="center" wrapText="1"/>
    </xf>
    <xf numFmtId="0" fontId="7" fillId="0" borderId="29" xfId="0" applyFont="1" applyBorder="1" applyAlignment="1">
      <alignment horizontal="center" vertical="center" wrapText="1"/>
    </xf>
    <xf numFmtId="3" fontId="7" fillId="0" borderId="30" xfId="0" applyNumberFormat="1" applyFont="1" applyBorder="1" applyAlignment="1">
      <alignment horizontal="center" vertical="center" wrapText="1"/>
    </xf>
    <xf numFmtId="0" fontId="5" fillId="4" borderId="29" xfId="0" applyFont="1" applyFill="1" applyBorder="1" applyAlignment="1">
      <alignment horizontal="center" vertical="center" wrapText="1"/>
    </xf>
    <xf numFmtId="3" fontId="5" fillId="4" borderId="30" xfId="0" applyNumberFormat="1" applyFont="1" applyFill="1" applyBorder="1" applyAlignment="1">
      <alignment horizontal="center" vertical="center" wrapText="1"/>
    </xf>
    <xf numFmtId="0" fontId="4" fillId="9" borderId="31" xfId="0" applyFont="1" applyFill="1" applyBorder="1" applyAlignment="1">
      <alignment horizontal="center" vertical="center" wrapText="1"/>
    </xf>
    <xf numFmtId="0" fontId="5" fillId="9" borderId="32" xfId="0" applyFont="1" applyFill="1" applyBorder="1" applyAlignment="1">
      <alignment horizontal="center" vertical="center" wrapText="1"/>
    </xf>
    <xf numFmtId="3" fontId="5" fillId="9" borderId="33" xfId="0" applyNumberFormat="1" applyFont="1" applyFill="1" applyBorder="1" applyAlignment="1">
      <alignment horizontal="center" vertical="center" wrapText="1"/>
    </xf>
    <xf numFmtId="0" fontId="4" fillId="6" borderId="26" xfId="0" applyFont="1" applyFill="1" applyBorder="1" applyAlignment="1">
      <alignment horizontal="center" vertical="center" wrapText="1"/>
    </xf>
    <xf numFmtId="0" fontId="5" fillId="6" borderId="27" xfId="0" applyFont="1" applyFill="1" applyBorder="1" applyAlignment="1">
      <alignment horizontal="center" vertical="center" wrapText="1"/>
    </xf>
    <xf numFmtId="0" fontId="5" fillId="6" borderId="28" xfId="0" applyFont="1" applyFill="1" applyBorder="1" applyAlignment="1">
      <alignment horizontal="center" vertical="center" wrapText="1"/>
    </xf>
    <xf numFmtId="0" fontId="5" fillId="17" borderId="1" xfId="0" applyFont="1" applyFill="1" applyBorder="1" applyAlignment="1">
      <alignment horizontal="left" vertical="center" wrapText="1" indent="1"/>
    </xf>
    <xf numFmtId="0" fontId="22" fillId="17" borderId="1" xfId="0" applyFont="1" applyFill="1" applyBorder="1" applyAlignment="1">
      <alignment horizontal="center" vertical="center" wrapText="1"/>
    </xf>
    <xf numFmtId="0" fontId="23" fillId="0" borderId="1" xfId="0" applyFont="1" applyBorder="1" applyAlignment="1">
      <alignment horizontal="center" vertical="center" wrapText="1"/>
    </xf>
    <xf numFmtId="10" fontId="23" fillId="0" borderId="1" xfId="0" applyNumberFormat="1" applyFont="1" applyBorder="1" applyAlignment="1">
      <alignment horizontal="center" vertical="center" wrapText="1"/>
    </xf>
    <xf numFmtId="0" fontId="4" fillId="16" borderId="26" xfId="0" applyFont="1" applyFill="1" applyBorder="1" applyAlignment="1">
      <alignment vertical="center" wrapText="1"/>
    </xf>
    <xf numFmtId="0" fontId="5" fillId="16" borderId="27" xfId="0" applyFont="1" applyFill="1" applyBorder="1" applyAlignment="1">
      <alignment horizontal="left" vertical="center" wrapText="1" indent="1"/>
    </xf>
    <xf numFmtId="0" fontId="4" fillId="16" borderId="27" xfId="0" applyFont="1" applyFill="1" applyBorder="1" applyAlignment="1">
      <alignment vertical="center" wrapText="1"/>
    </xf>
    <xf numFmtId="0" fontId="5" fillId="16" borderId="28" xfId="0" applyFont="1" applyFill="1" applyBorder="1" applyAlignment="1">
      <alignment horizontal="center" vertical="center" wrapText="1"/>
    </xf>
    <xf numFmtId="0" fontId="5" fillId="14" borderId="29" xfId="0" applyFont="1" applyFill="1" applyBorder="1" applyAlignment="1">
      <alignment horizontal="center" vertical="center" wrapText="1"/>
    </xf>
    <xf numFmtId="3" fontId="5" fillId="14" borderId="30" xfId="0" applyNumberFormat="1" applyFont="1" applyFill="1" applyBorder="1" applyAlignment="1">
      <alignment horizontal="center" vertical="center" wrapText="1"/>
    </xf>
    <xf numFmtId="0" fontId="5" fillId="17" borderId="29" xfId="0" applyFont="1" applyFill="1" applyBorder="1" applyAlignment="1">
      <alignment horizontal="center" vertical="center" wrapText="1"/>
    </xf>
    <xf numFmtId="3" fontId="5" fillId="17" borderId="30" xfId="0" applyNumberFormat="1" applyFont="1" applyFill="1" applyBorder="1" applyAlignment="1">
      <alignment horizontal="center" vertical="center" wrapText="1"/>
    </xf>
    <xf numFmtId="0" fontId="7" fillId="0" borderId="29" xfId="0" applyFont="1" applyBorder="1" applyAlignment="1">
      <alignment horizontal="left" vertical="center" wrapText="1" indent="1"/>
    </xf>
    <xf numFmtId="0" fontId="7" fillId="0" borderId="30" xfId="0" applyFont="1" applyBorder="1" applyAlignment="1">
      <alignment horizontal="center" vertical="center" wrapText="1"/>
    </xf>
    <xf numFmtId="0" fontId="4" fillId="18" borderId="31" xfId="0" applyFont="1" applyFill="1" applyBorder="1" applyAlignment="1">
      <alignment vertical="center" wrapText="1"/>
    </xf>
    <xf numFmtId="0" fontId="5" fillId="18" borderId="32" xfId="0" applyFont="1" applyFill="1" applyBorder="1" applyAlignment="1">
      <alignment horizontal="left" vertical="center" wrapText="1" indent="1"/>
    </xf>
    <xf numFmtId="0" fontId="5" fillId="18" borderId="32" xfId="0" applyFont="1" applyFill="1" applyBorder="1" applyAlignment="1">
      <alignment horizontal="center" vertical="center" wrapText="1"/>
    </xf>
    <xf numFmtId="3" fontId="5" fillId="18" borderId="33" xfId="0" applyNumberFormat="1" applyFont="1" applyFill="1" applyBorder="1" applyAlignment="1">
      <alignment horizontal="center" vertical="center" wrapText="1"/>
    </xf>
    <xf numFmtId="0" fontId="29" fillId="0" borderId="1" xfId="0" applyFont="1" applyBorder="1" applyAlignment="1">
      <alignment horizontal="left" vertical="center" wrapText="1" indent="1"/>
    </xf>
    <xf numFmtId="10" fontId="29" fillId="0" borderId="1" xfId="0" applyNumberFormat="1" applyFont="1" applyBorder="1" applyAlignment="1">
      <alignment horizontal="center" vertical="center" wrapText="1"/>
    </xf>
    <xf numFmtId="0" fontId="31" fillId="17" borderId="1" xfId="0" applyFont="1" applyFill="1" applyBorder="1" applyAlignment="1">
      <alignment horizontal="left" vertical="center" wrapText="1" indent="1"/>
    </xf>
    <xf numFmtId="0" fontId="31" fillId="17" borderId="1" xfId="0" applyFont="1" applyFill="1" applyBorder="1" applyAlignment="1">
      <alignment horizontal="center" vertical="center" wrapText="1"/>
    </xf>
    <xf numFmtId="165" fontId="0" fillId="0" borderId="1" xfId="0" applyNumberFormat="1" applyBorder="1" applyAlignment="1">
      <alignment horizontal="center"/>
    </xf>
    <xf numFmtId="165" fontId="2" fillId="0" borderId="1" xfId="0" applyNumberFormat="1" applyFont="1" applyBorder="1" applyAlignment="1">
      <alignment horizontal="center"/>
    </xf>
    <xf numFmtId="0" fontId="2" fillId="0" borderId="0" xfId="0" applyFont="1" applyFill="1"/>
    <xf numFmtId="0" fontId="0" fillId="0" borderId="1" xfId="0" applyBorder="1" applyAlignment="1">
      <alignment horizontal="center" vertical="center"/>
    </xf>
    <xf numFmtId="0" fontId="2" fillId="14" borderId="1" xfId="0" applyFont="1" applyFill="1" applyBorder="1" applyAlignment="1">
      <alignment horizontal="center" vertical="center"/>
    </xf>
    <xf numFmtId="0" fontId="2" fillId="0" borderId="1" xfId="0" applyFont="1" applyBorder="1" applyAlignment="1">
      <alignment horizontal="center" vertical="center"/>
    </xf>
    <xf numFmtId="0" fontId="2" fillId="6" borderId="1" xfId="0" applyFont="1" applyFill="1" applyBorder="1" applyAlignment="1">
      <alignment horizontal="center" vertical="center"/>
    </xf>
    <xf numFmtId="0" fontId="2" fillId="7" borderId="1" xfId="0" applyFont="1" applyFill="1" applyBorder="1" applyAlignment="1">
      <alignment horizontal="center" vertical="center"/>
    </xf>
    <xf numFmtId="0" fontId="0" fillId="0" borderId="25" xfId="0" applyBorder="1" applyAlignment="1">
      <alignment horizontal="center" vertical="center"/>
    </xf>
    <xf numFmtId="164" fontId="12" fillId="0" borderId="1" xfId="5" applyFont="1" applyBorder="1" applyAlignment="1">
      <alignment vertical="center"/>
    </xf>
    <xf numFmtId="3" fontId="12" fillId="0" borderId="1" xfId="0" applyNumberFormat="1" applyFont="1" applyBorder="1" applyAlignment="1">
      <alignment horizontal="center" vertical="center"/>
    </xf>
    <xf numFmtId="4" fontId="12" fillId="0" borderId="1" xfId="0" applyNumberFormat="1" applyFont="1" applyBorder="1" applyAlignment="1">
      <alignment horizontal="center" vertical="center"/>
    </xf>
    <xf numFmtId="3" fontId="13" fillId="14" borderId="1" xfId="0" applyNumberFormat="1" applyFont="1" applyFill="1" applyBorder="1" applyAlignment="1">
      <alignment horizontal="center" vertical="center"/>
    </xf>
    <xf numFmtId="10" fontId="13" fillId="14" borderId="1" xfId="0" applyNumberFormat="1" applyFont="1" applyFill="1" applyBorder="1" applyAlignment="1">
      <alignment horizontal="center" vertical="center"/>
    </xf>
    <xf numFmtId="3" fontId="13" fillId="0" borderId="1" xfId="0" applyNumberFormat="1" applyFont="1" applyBorder="1" applyAlignment="1">
      <alignment horizontal="center" vertical="center"/>
    </xf>
    <xf numFmtId="0" fontId="0" fillId="0" borderId="1" xfId="0" quotePrefix="1" applyBorder="1" applyAlignment="1">
      <alignment horizontal="center" vertical="center"/>
    </xf>
    <xf numFmtId="164" fontId="12" fillId="0" borderId="1" xfId="5" applyFont="1" applyBorder="1" applyAlignment="1">
      <alignment horizontal="center" vertical="center"/>
    </xf>
    <xf numFmtId="3" fontId="13" fillId="6" borderId="1" xfId="0" applyNumberFormat="1" applyFont="1" applyFill="1" applyBorder="1" applyAlignment="1">
      <alignment horizontal="center" vertical="center"/>
    </xf>
    <xf numFmtId="168" fontId="12" fillId="0" borderId="1" xfId="0" applyNumberFormat="1" applyFont="1" applyBorder="1" applyAlignment="1">
      <alignment horizontal="center" vertical="center"/>
    </xf>
    <xf numFmtId="3" fontId="13" fillId="7" borderId="1" xfId="0" applyNumberFormat="1" applyFont="1" applyFill="1" applyBorder="1" applyAlignment="1">
      <alignment horizontal="center" vertical="center"/>
    </xf>
    <xf numFmtId="9" fontId="13" fillId="2" borderId="1" xfId="0" applyNumberFormat="1" applyFont="1" applyFill="1" applyBorder="1" applyAlignment="1">
      <alignment horizontal="center" vertical="center"/>
    </xf>
    <xf numFmtId="9" fontId="13" fillId="0" borderId="1" xfId="0" applyNumberFormat="1" applyFont="1" applyBorder="1" applyAlignment="1">
      <alignment horizontal="center" vertical="center"/>
    </xf>
    <xf numFmtId="169" fontId="12" fillId="0" borderId="1" xfId="0" applyNumberFormat="1" applyFont="1" applyBorder="1" applyAlignment="1">
      <alignment horizontal="center" vertical="center"/>
    </xf>
    <xf numFmtId="166" fontId="12" fillId="0" borderId="1" xfId="5" applyNumberFormat="1" applyFont="1" applyBorder="1" applyAlignment="1">
      <alignment horizontal="center" vertical="center"/>
    </xf>
    <xf numFmtId="0" fontId="0" fillId="0" borderId="24" xfId="0" applyBorder="1" applyAlignment="1">
      <alignment horizontal="center" vertical="center"/>
    </xf>
    <xf numFmtId="3" fontId="12" fillId="0" borderId="24" xfId="0" applyNumberFormat="1" applyFont="1" applyBorder="1" applyAlignment="1">
      <alignment horizontal="center" vertical="center"/>
    </xf>
    <xf numFmtId="0" fontId="20" fillId="0" borderId="26" xfId="3" applyFont="1" applyBorder="1" applyAlignment="1">
      <alignment horizontal="center" vertical="center"/>
    </xf>
    <xf numFmtId="9" fontId="13" fillId="2" borderId="27" xfId="0" applyNumberFormat="1" applyFont="1" applyFill="1" applyBorder="1" applyAlignment="1">
      <alignment horizontal="center" vertical="center"/>
    </xf>
    <xf numFmtId="166" fontId="13" fillId="0" borderId="28" xfId="5" applyNumberFormat="1" applyFont="1" applyFill="1" applyBorder="1" applyAlignment="1">
      <alignment horizontal="center" vertical="center"/>
    </xf>
    <xf numFmtId="3" fontId="12" fillId="0" borderId="22" xfId="0" applyNumberFormat="1" applyFont="1" applyBorder="1" applyAlignment="1">
      <alignment horizontal="center" vertical="center"/>
    </xf>
    <xf numFmtId="0" fontId="20" fillId="0" borderId="29" xfId="0" applyFont="1" applyBorder="1" applyAlignment="1">
      <alignment horizontal="center" vertical="center"/>
    </xf>
    <xf numFmtId="10" fontId="13" fillId="0" borderId="1" xfId="0" applyNumberFormat="1" applyFont="1" applyBorder="1" applyAlignment="1">
      <alignment horizontal="center" vertical="center"/>
    </xf>
    <xf numFmtId="10" fontId="13" fillId="0" borderId="30" xfId="0" applyNumberFormat="1" applyFont="1" applyBorder="1" applyAlignment="1">
      <alignment horizontal="center" vertical="center"/>
    </xf>
    <xf numFmtId="0" fontId="20" fillId="0" borderId="31" xfId="0" applyFont="1" applyBorder="1" applyAlignment="1">
      <alignment horizontal="center" vertical="center"/>
    </xf>
    <xf numFmtId="2" fontId="13" fillId="0" borderId="32" xfId="0" applyNumberFormat="1" applyFont="1" applyBorder="1" applyAlignment="1">
      <alignment horizontal="center" vertical="center"/>
    </xf>
    <xf numFmtId="164" fontId="20" fillId="0" borderId="33" xfId="5" applyFont="1" applyFill="1" applyBorder="1" applyAlignment="1">
      <alignment horizontal="center" vertical="center"/>
    </xf>
    <xf numFmtId="2" fontId="0" fillId="0" borderId="1" xfId="0" applyNumberFormat="1" applyBorder="1" applyAlignment="1">
      <alignment horizontal="center"/>
    </xf>
    <xf numFmtId="0" fontId="0" fillId="12" borderId="1" xfId="0" applyFill="1" applyBorder="1" applyAlignment="1">
      <alignment horizontal="center" vertical="center"/>
    </xf>
    <xf numFmtId="0" fontId="0" fillId="13" borderId="1" xfId="0" applyFill="1" applyBorder="1" applyAlignment="1">
      <alignment horizontal="center" vertical="center"/>
    </xf>
    <xf numFmtId="167" fontId="18" fillId="0" borderId="1" xfId="2" applyNumberFormat="1" applyFont="1" applyBorder="1" applyAlignment="1">
      <alignment horizontal="center" vertical="center"/>
    </xf>
    <xf numFmtId="167" fontId="19" fillId="0" borderId="1" xfId="2" applyNumberFormat="1" applyFont="1" applyBorder="1" applyAlignment="1">
      <alignment horizontal="center" vertical="center"/>
    </xf>
    <xf numFmtId="0" fontId="0" fillId="2" borderId="1" xfId="0" applyFill="1" applyBorder="1" applyAlignment="1">
      <alignment horizontal="center" vertical="center"/>
    </xf>
    <xf numFmtId="1" fontId="0" fillId="0" borderId="1" xfId="0" applyNumberFormat="1" applyBorder="1" applyAlignment="1">
      <alignment horizontal="center" vertical="center"/>
    </xf>
    <xf numFmtId="167" fontId="0" fillId="0" borderId="1" xfId="0" applyNumberFormat="1" applyBorder="1" applyAlignment="1">
      <alignment horizontal="center" vertical="center"/>
    </xf>
    <xf numFmtId="0" fontId="12" fillId="0" borderId="14" xfId="0" applyFont="1" applyBorder="1" applyAlignment="1">
      <alignment horizontal="center" vertical="center" wrapText="1"/>
    </xf>
    <xf numFmtId="0" fontId="12" fillId="0" borderId="15" xfId="0" applyFont="1" applyBorder="1" applyAlignment="1">
      <alignment horizontal="center" vertical="center" wrapText="1"/>
    </xf>
    <xf numFmtId="0" fontId="12" fillId="0" borderId="18" xfId="0" applyFont="1" applyBorder="1" applyAlignment="1">
      <alignment horizontal="center" vertical="center" wrapText="1"/>
    </xf>
    <xf numFmtId="0" fontId="12" fillId="0" borderId="17" xfId="0" applyFont="1" applyBorder="1" applyAlignment="1">
      <alignment horizontal="center" vertical="center" wrapText="1"/>
    </xf>
    <xf numFmtId="0" fontId="12" fillId="0" borderId="13" xfId="0" applyFont="1" applyBorder="1" applyAlignment="1">
      <alignment horizontal="center" vertical="center" wrapText="1"/>
    </xf>
    <xf numFmtId="0" fontId="12" fillId="0" borderId="12" xfId="0" applyFont="1" applyBorder="1" applyAlignment="1">
      <alignment horizontal="center" vertical="center" wrapText="1"/>
    </xf>
    <xf numFmtId="0" fontId="27" fillId="22" borderId="21" xfId="0" applyFont="1" applyFill="1" applyBorder="1" applyAlignment="1">
      <alignment horizontal="center"/>
    </xf>
    <xf numFmtId="0" fontId="27" fillId="22" borderId="19" xfId="0" applyFont="1" applyFill="1" applyBorder="1" applyAlignment="1">
      <alignment horizontal="center"/>
    </xf>
    <xf numFmtId="0" fontId="27" fillId="22" borderId="10" xfId="0" applyFont="1" applyFill="1" applyBorder="1" applyAlignment="1">
      <alignment horizontal="center"/>
    </xf>
    <xf numFmtId="0" fontId="28" fillId="19" borderId="20" xfId="0" applyFont="1" applyFill="1" applyBorder="1" applyAlignment="1">
      <alignment horizontal="center" vertical="center" wrapText="1"/>
    </xf>
    <xf numFmtId="0" fontId="28" fillId="19" borderId="11" xfId="0" applyFont="1" applyFill="1" applyBorder="1" applyAlignment="1">
      <alignment horizontal="center" vertical="center" wrapText="1"/>
    </xf>
    <xf numFmtId="0" fontId="25" fillId="19" borderId="20" xfId="0" applyFont="1" applyFill="1" applyBorder="1" applyAlignment="1">
      <alignment horizontal="center" vertical="center" wrapText="1"/>
    </xf>
    <xf numFmtId="0" fontId="25" fillId="19" borderId="11" xfId="0" applyFont="1" applyFill="1" applyBorder="1" applyAlignment="1">
      <alignment horizontal="center" vertical="center" wrapText="1"/>
    </xf>
    <xf numFmtId="0" fontId="12" fillId="19" borderId="20" xfId="0" applyFont="1" applyFill="1" applyBorder="1" applyAlignment="1">
      <alignment horizontal="center" vertical="center"/>
    </xf>
    <xf numFmtId="0" fontId="12" fillId="19" borderId="11" xfId="0" applyFont="1" applyFill="1" applyBorder="1" applyAlignment="1">
      <alignment horizontal="center" vertical="center"/>
    </xf>
    <xf numFmtId="0" fontId="24" fillId="19" borderId="20" xfId="0" applyFont="1" applyFill="1" applyBorder="1" applyAlignment="1">
      <alignment horizontal="center" vertical="center" wrapText="1"/>
    </xf>
    <xf numFmtId="0" fontId="24" fillId="19" borderId="11" xfId="0" applyFont="1" applyFill="1" applyBorder="1" applyAlignment="1">
      <alignment horizontal="center" vertical="center" wrapText="1"/>
    </xf>
    <xf numFmtId="0" fontId="2" fillId="2" borderId="1" xfId="0" applyFont="1" applyFill="1" applyBorder="1" applyAlignment="1">
      <alignment horizontal="center" vertical="center"/>
    </xf>
    <xf numFmtId="0" fontId="2" fillId="2" borderId="1" xfId="0" applyFont="1" applyFill="1" applyBorder="1" applyAlignment="1">
      <alignment horizontal="center" vertical="center" wrapText="1"/>
    </xf>
    <xf numFmtId="0" fontId="0" fillId="0" borderId="1" xfId="0" applyBorder="1" applyAlignment="1">
      <alignment horizontal="center"/>
    </xf>
    <xf numFmtId="0" fontId="13" fillId="0" borderId="0" xfId="0" applyFont="1" applyAlignment="1">
      <alignment horizontal="center" vertical="center" wrapText="1"/>
    </xf>
    <xf numFmtId="0" fontId="16" fillId="11" borderId="1" xfId="4" applyFont="1" applyBorder="1" applyAlignment="1">
      <alignment horizontal="center" vertical="center"/>
    </xf>
    <xf numFmtId="0" fontId="13" fillId="0" borderId="0" xfId="0" applyFont="1" applyAlignment="1">
      <alignment horizontal="center" vertical="center"/>
    </xf>
    <xf numFmtId="0" fontId="12" fillId="0" borderId="0" xfId="0" applyFont="1" applyAlignment="1">
      <alignment vertical="center"/>
    </xf>
    <xf numFmtId="0" fontId="21" fillId="0" borderId="0" xfId="0" applyFont="1" applyAlignment="1">
      <alignment horizontal="right" vertical="center"/>
    </xf>
    <xf numFmtId="0" fontId="0" fillId="5" borderId="6" xfId="0" applyFill="1" applyBorder="1" applyAlignment="1">
      <alignment horizontal="center"/>
    </xf>
    <xf numFmtId="0" fontId="0" fillId="5" borderId="7" xfId="0" applyFill="1" applyBorder="1" applyAlignment="1">
      <alignment horizontal="center"/>
    </xf>
    <xf numFmtId="0" fontId="0" fillId="5" borderId="8" xfId="0" applyFill="1" applyBorder="1" applyAlignment="1">
      <alignment horizontal="center"/>
    </xf>
    <xf numFmtId="0" fontId="0" fillId="4" borderId="16" xfId="0" applyFill="1" applyBorder="1" applyAlignment="1">
      <alignment horizontal="center"/>
    </xf>
    <xf numFmtId="0" fontId="0" fillId="4" borderId="0" xfId="0" applyFill="1" applyBorder="1" applyAlignment="1">
      <alignment horizontal="center"/>
    </xf>
    <xf numFmtId="0" fontId="32" fillId="0" borderId="0" xfId="0" applyFont="1" applyAlignment="1">
      <alignment horizontal="justify" vertical="center"/>
    </xf>
    <xf numFmtId="0" fontId="33" fillId="0" borderId="0" xfId="0" applyFont="1" applyAlignment="1">
      <alignment horizontal="justify" vertical="center"/>
    </xf>
  </cellXfs>
  <cellStyles count="6">
    <cellStyle name="Accent1" xfId="4" builtinId="29"/>
    <cellStyle name="Comma" xfId="2" builtinId="3"/>
    <cellStyle name="Comma 2" xfId="5" xr:uid="{B7A75283-3F15-42B7-B8CB-BE075E266E2B}"/>
    <cellStyle name="Hyperlink" xfId="3" builtinId="8"/>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292100</xdr:colOff>
      <xdr:row>29</xdr:row>
      <xdr:rowOff>180974</xdr:rowOff>
    </xdr:to>
    <xdr:pic>
      <xdr:nvPicPr>
        <xdr:cNvPr id="2" name="Graphic 1">
          <a:extLst>
            <a:ext uri="{FF2B5EF4-FFF2-40B4-BE49-F238E27FC236}">
              <a16:creationId xmlns:a16="http://schemas.microsoft.com/office/drawing/2014/main" id="{BF1CDF1B-09B3-41F8-A839-3505D1C3A100}"/>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0" y="0"/>
          <a:ext cx="7607300" cy="570547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mailto:NPV@12%25" TargetMode="Externa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5.bin"/><Relationship Id="rId1" Type="http://schemas.openxmlformats.org/officeDocument/2006/relationships/hyperlink" Target="mailto:NPV@12%25" TargetMode="External"/><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FFD474-79F2-4DD6-8E27-7FE40A0C5059}">
  <dimension ref="A1"/>
  <sheetViews>
    <sheetView showGridLines="0" workbookViewId="0"/>
  </sheetViews>
  <sheetFormatPr defaultRowHeight="1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3802D-C82B-4E1C-A4B6-68DF66BD8CED}">
  <dimension ref="A1:O65"/>
  <sheetViews>
    <sheetView showGridLines="0" topLeftCell="A17" workbookViewId="0">
      <selection activeCell="G31" sqref="G31"/>
    </sheetView>
  </sheetViews>
  <sheetFormatPr defaultRowHeight="15"/>
  <cols>
    <col min="1" max="1" width="4" bestFit="1" customWidth="1"/>
    <col min="2" max="2" width="24.42578125" bestFit="1" customWidth="1"/>
    <col min="3" max="3" width="17.5703125" customWidth="1"/>
    <col min="4" max="4" width="8.42578125" customWidth="1"/>
    <col min="5" max="5" width="16" customWidth="1"/>
    <col min="6" max="6" width="12.85546875" customWidth="1"/>
    <col min="7" max="7" width="16.7109375" customWidth="1"/>
    <col min="10" max="10" width="24.42578125" bestFit="1" customWidth="1"/>
    <col min="11" max="11" width="17" customWidth="1"/>
    <col min="13" max="13" width="7.85546875" bestFit="1" customWidth="1"/>
    <col min="14" max="14" width="15.5703125" customWidth="1"/>
    <col min="15" max="15" width="12.7109375" customWidth="1"/>
  </cols>
  <sheetData>
    <row r="1" spans="1:15" ht="16.5" thickBot="1">
      <c r="A1" s="199" t="s">
        <v>225</v>
      </c>
      <c r="B1" s="200"/>
      <c r="C1" s="200"/>
      <c r="D1" s="200"/>
      <c r="E1" s="200"/>
      <c r="F1" s="200"/>
      <c r="G1" s="201"/>
      <c r="I1" s="199" t="s">
        <v>226</v>
      </c>
      <c r="J1" s="200"/>
      <c r="K1" s="200"/>
      <c r="L1" s="200"/>
      <c r="M1" s="200"/>
      <c r="N1" s="200"/>
      <c r="O1" s="201"/>
    </row>
    <row r="2" spans="1:15">
      <c r="A2" s="202" t="s">
        <v>263</v>
      </c>
      <c r="B2" s="204" t="s">
        <v>16</v>
      </c>
      <c r="C2" s="204" t="s">
        <v>198</v>
      </c>
      <c r="D2" s="204" t="s">
        <v>199</v>
      </c>
      <c r="E2" s="103" t="s">
        <v>1</v>
      </c>
      <c r="F2" s="204" t="s">
        <v>151</v>
      </c>
      <c r="G2" s="206" t="s">
        <v>101</v>
      </c>
      <c r="I2" s="208"/>
      <c r="J2" s="204" t="s">
        <v>16</v>
      </c>
      <c r="K2" s="204" t="s">
        <v>198</v>
      </c>
      <c r="L2" s="204" t="s">
        <v>199</v>
      </c>
      <c r="M2" s="103" t="s">
        <v>1</v>
      </c>
      <c r="N2" s="204" t="s">
        <v>151</v>
      </c>
      <c r="O2" s="206" t="s">
        <v>101</v>
      </c>
    </row>
    <row r="3" spans="1:15" ht="23.25" thickBot="1">
      <c r="A3" s="203"/>
      <c r="B3" s="205"/>
      <c r="C3" s="205"/>
      <c r="D3" s="205"/>
      <c r="E3" s="104" t="s">
        <v>227</v>
      </c>
      <c r="F3" s="205"/>
      <c r="G3" s="207"/>
      <c r="I3" s="209"/>
      <c r="J3" s="205"/>
      <c r="K3" s="205"/>
      <c r="L3" s="205"/>
      <c r="M3" s="104" t="s">
        <v>227</v>
      </c>
      <c r="N3" s="205"/>
      <c r="O3" s="207"/>
    </row>
    <row r="4" spans="1:15" ht="45.75" thickBot="1">
      <c r="A4" s="29">
        <v>1</v>
      </c>
      <c r="B4" s="96" t="s">
        <v>76</v>
      </c>
      <c r="C4" s="96" t="s">
        <v>201</v>
      </c>
      <c r="D4" s="96">
        <v>1</v>
      </c>
      <c r="E4" s="96">
        <v>9.8000000000000004E-2</v>
      </c>
      <c r="F4" s="96" t="s">
        <v>228</v>
      </c>
      <c r="G4" s="96"/>
      <c r="I4" s="29">
        <v>1</v>
      </c>
      <c r="J4" s="96" t="s">
        <v>76</v>
      </c>
      <c r="K4" s="96" t="s">
        <v>201</v>
      </c>
      <c r="L4" s="96">
        <v>1</v>
      </c>
      <c r="M4" s="96">
        <v>9.8000000000000004E-2</v>
      </c>
      <c r="N4" s="96" t="s">
        <v>228</v>
      </c>
      <c r="O4" s="96"/>
    </row>
    <row r="5" spans="1:15" ht="30.75" thickBot="1">
      <c r="A5" s="29">
        <v>2</v>
      </c>
      <c r="B5" s="96" t="s">
        <v>77</v>
      </c>
      <c r="C5" s="96" t="s">
        <v>202</v>
      </c>
      <c r="D5" s="96">
        <v>2</v>
      </c>
      <c r="E5" s="96">
        <v>3.3000000000000002E-2</v>
      </c>
      <c r="F5" s="96" t="s">
        <v>228</v>
      </c>
      <c r="G5" s="96" t="s">
        <v>229</v>
      </c>
      <c r="I5" s="29">
        <v>2</v>
      </c>
      <c r="J5" s="96" t="s">
        <v>77</v>
      </c>
      <c r="K5" s="96" t="s">
        <v>202</v>
      </c>
      <c r="L5" s="96">
        <v>2</v>
      </c>
      <c r="M5" s="96">
        <v>3.3000000000000002E-2</v>
      </c>
      <c r="N5" s="96" t="s">
        <v>228</v>
      </c>
      <c r="O5" s="96" t="s">
        <v>229</v>
      </c>
    </row>
    <row r="6" spans="1:15" ht="15.75" thickBot="1">
      <c r="A6" s="29">
        <v>3</v>
      </c>
      <c r="B6" s="96" t="s">
        <v>230</v>
      </c>
      <c r="C6" s="96" t="s">
        <v>200</v>
      </c>
      <c r="D6" s="96">
        <v>1</v>
      </c>
      <c r="E6" s="96">
        <v>3.3000000000000002E-2</v>
      </c>
      <c r="F6" s="96" t="s">
        <v>228</v>
      </c>
      <c r="G6" s="96"/>
      <c r="I6" s="29">
        <v>3</v>
      </c>
      <c r="J6" s="96" t="s">
        <v>231</v>
      </c>
      <c r="K6" s="96" t="s">
        <v>200</v>
      </c>
      <c r="L6" s="96">
        <v>1</v>
      </c>
      <c r="M6" s="96">
        <v>3.3000000000000002E-2</v>
      </c>
      <c r="N6" s="96" t="s">
        <v>228</v>
      </c>
      <c r="O6" s="96"/>
    </row>
    <row r="7" spans="1:15" ht="15.75" thickBot="1">
      <c r="A7" s="29">
        <v>4</v>
      </c>
      <c r="B7" s="96" t="s">
        <v>78</v>
      </c>
      <c r="C7" s="96" t="s">
        <v>200</v>
      </c>
      <c r="D7" s="96">
        <v>1</v>
      </c>
      <c r="E7" s="96">
        <v>0.16400000000000001</v>
      </c>
      <c r="F7" s="96" t="s">
        <v>228</v>
      </c>
      <c r="G7" s="96"/>
      <c r="I7" s="29">
        <v>4</v>
      </c>
      <c r="J7" s="96" t="s">
        <v>78</v>
      </c>
      <c r="K7" s="96" t="s">
        <v>200</v>
      </c>
      <c r="L7" s="96">
        <v>1</v>
      </c>
      <c r="M7" s="96">
        <v>0.16400000000000001</v>
      </c>
      <c r="N7" s="96" t="s">
        <v>228</v>
      </c>
      <c r="O7" s="96"/>
    </row>
    <row r="8" spans="1:15" ht="30.75" thickBot="1">
      <c r="A8" s="29">
        <v>5</v>
      </c>
      <c r="B8" s="96" t="s">
        <v>79</v>
      </c>
      <c r="C8" s="96" t="s">
        <v>203</v>
      </c>
      <c r="D8" s="96">
        <v>2</v>
      </c>
      <c r="E8" s="96">
        <v>3.3000000000000002E-2</v>
      </c>
      <c r="F8" s="96" t="s">
        <v>228</v>
      </c>
      <c r="G8" s="96" t="s">
        <v>229</v>
      </c>
      <c r="I8" s="29">
        <v>5</v>
      </c>
      <c r="J8" s="96" t="s">
        <v>79</v>
      </c>
      <c r="K8" s="96" t="s">
        <v>203</v>
      </c>
      <c r="L8" s="96">
        <v>2</v>
      </c>
      <c r="M8" s="96">
        <v>3.3000000000000002E-2</v>
      </c>
      <c r="N8" s="96" t="s">
        <v>228</v>
      </c>
      <c r="O8" s="96" t="s">
        <v>229</v>
      </c>
    </row>
    <row r="9" spans="1:15" ht="15.75" thickBot="1">
      <c r="A9" s="29">
        <v>6</v>
      </c>
      <c r="B9" s="96" t="s">
        <v>80</v>
      </c>
      <c r="C9" s="96" t="s">
        <v>200</v>
      </c>
      <c r="D9" s="96">
        <v>1</v>
      </c>
      <c r="E9" s="96">
        <v>0.49099999999999999</v>
      </c>
      <c r="F9" s="96" t="s">
        <v>232</v>
      </c>
      <c r="G9" s="96"/>
      <c r="I9" s="29">
        <v>6</v>
      </c>
      <c r="J9" s="96" t="s">
        <v>233</v>
      </c>
      <c r="K9" s="193" t="s">
        <v>234</v>
      </c>
      <c r="L9" s="194"/>
      <c r="M9" s="194"/>
      <c r="N9" s="194"/>
      <c r="O9" s="195"/>
    </row>
    <row r="10" spans="1:15" ht="30.75" thickBot="1">
      <c r="A10" s="29">
        <v>7</v>
      </c>
      <c r="B10" s="96" t="s">
        <v>81</v>
      </c>
      <c r="C10" s="96" t="s">
        <v>203</v>
      </c>
      <c r="D10" s="96">
        <v>2</v>
      </c>
      <c r="E10" s="96">
        <v>3.3000000000000002E-2</v>
      </c>
      <c r="F10" s="96" t="s">
        <v>228</v>
      </c>
      <c r="G10" s="96" t="s">
        <v>235</v>
      </c>
      <c r="I10" s="29">
        <v>7</v>
      </c>
      <c r="J10" s="96" t="s">
        <v>81</v>
      </c>
      <c r="K10" s="196"/>
      <c r="L10" s="197"/>
      <c r="M10" s="197"/>
      <c r="N10" s="197"/>
      <c r="O10" s="198"/>
    </row>
    <row r="11" spans="1:15" ht="75.75" thickBot="1">
      <c r="A11" s="29">
        <v>8</v>
      </c>
      <c r="B11" s="96" t="s">
        <v>82</v>
      </c>
      <c r="C11" s="96" t="s">
        <v>200</v>
      </c>
      <c r="D11" s="96">
        <v>1</v>
      </c>
      <c r="E11" s="96">
        <v>0.49099999999999999</v>
      </c>
      <c r="F11" s="96" t="s">
        <v>232</v>
      </c>
      <c r="G11" s="96" t="s">
        <v>204</v>
      </c>
      <c r="I11" s="29">
        <v>8</v>
      </c>
      <c r="J11" s="96" t="s">
        <v>82</v>
      </c>
      <c r="K11" s="96" t="s">
        <v>200</v>
      </c>
      <c r="L11" s="96">
        <v>1</v>
      </c>
      <c r="M11" s="96">
        <v>0.49099999999999999</v>
      </c>
      <c r="N11" s="96" t="s">
        <v>232</v>
      </c>
      <c r="O11" s="96" t="s">
        <v>204</v>
      </c>
    </row>
    <row r="12" spans="1:15" ht="30.75" thickBot="1">
      <c r="A12" s="29">
        <v>9</v>
      </c>
      <c r="B12" s="96" t="s">
        <v>83</v>
      </c>
      <c r="C12" s="96" t="s">
        <v>203</v>
      </c>
      <c r="D12" s="96">
        <v>2</v>
      </c>
      <c r="E12" s="96">
        <v>3.3000000000000002E-2</v>
      </c>
      <c r="F12" s="96" t="s">
        <v>228</v>
      </c>
      <c r="G12" s="96" t="s">
        <v>229</v>
      </c>
      <c r="I12" s="29">
        <v>9</v>
      </c>
      <c r="J12" s="96" t="s">
        <v>83</v>
      </c>
      <c r="K12" s="96" t="s">
        <v>203</v>
      </c>
      <c r="L12" s="96">
        <v>2</v>
      </c>
      <c r="M12" s="96">
        <v>3.3000000000000002E-2</v>
      </c>
      <c r="N12" s="96" t="s">
        <v>228</v>
      </c>
      <c r="O12" s="96" t="s">
        <v>229</v>
      </c>
    </row>
    <row r="13" spans="1:15" ht="15.75" thickBot="1">
      <c r="A13" s="29">
        <v>10</v>
      </c>
      <c r="B13" s="96" t="s">
        <v>84</v>
      </c>
      <c r="C13" s="96" t="s">
        <v>200</v>
      </c>
      <c r="D13" s="96">
        <v>1</v>
      </c>
      <c r="E13" s="96">
        <v>0.13100000000000001</v>
      </c>
      <c r="F13" s="96" t="s">
        <v>228</v>
      </c>
      <c r="G13" s="96"/>
      <c r="I13" s="29">
        <v>10</v>
      </c>
      <c r="J13" s="96" t="s">
        <v>84</v>
      </c>
      <c r="K13" s="96" t="s">
        <v>200</v>
      </c>
      <c r="L13" s="96">
        <v>1</v>
      </c>
      <c r="M13" s="96">
        <v>0.13100000000000001</v>
      </c>
      <c r="N13" s="96" t="s">
        <v>228</v>
      </c>
      <c r="O13" s="96"/>
    </row>
    <row r="14" spans="1:15" ht="30.75" thickBot="1">
      <c r="A14" s="29">
        <v>11</v>
      </c>
      <c r="B14" s="96" t="s">
        <v>85</v>
      </c>
      <c r="C14" s="96" t="s">
        <v>200</v>
      </c>
      <c r="D14" s="96">
        <v>1</v>
      </c>
      <c r="E14" s="96">
        <v>0.16400000000000001</v>
      </c>
      <c r="F14" s="96" t="s">
        <v>228</v>
      </c>
      <c r="G14" s="96"/>
      <c r="I14" s="29">
        <v>11</v>
      </c>
      <c r="J14" s="96" t="s">
        <v>85</v>
      </c>
      <c r="K14" s="96" t="s">
        <v>200</v>
      </c>
      <c r="L14" s="96">
        <v>1</v>
      </c>
      <c r="M14" s="96">
        <v>0.16400000000000001</v>
      </c>
      <c r="N14" s="96" t="s">
        <v>228</v>
      </c>
      <c r="O14" s="96"/>
    </row>
    <row r="15" spans="1:15" ht="30.75" thickBot="1">
      <c r="A15" s="29">
        <v>12</v>
      </c>
      <c r="B15" s="96" t="s">
        <v>86</v>
      </c>
      <c r="C15" s="96" t="s">
        <v>203</v>
      </c>
      <c r="D15" s="96">
        <v>2</v>
      </c>
      <c r="E15" s="96">
        <v>1.6E-2</v>
      </c>
      <c r="F15" s="96" t="s">
        <v>228</v>
      </c>
      <c r="G15" s="96" t="s">
        <v>229</v>
      </c>
      <c r="I15" s="29">
        <v>12</v>
      </c>
      <c r="J15" s="96" t="s">
        <v>86</v>
      </c>
      <c r="K15" s="96" t="s">
        <v>203</v>
      </c>
      <c r="L15" s="96">
        <v>2</v>
      </c>
      <c r="M15" s="96">
        <v>1.6E-2</v>
      </c>
      <c r="N15" s="96" t="s">
        <v>228</v>
      </c>
      <c r="O15" s="96" t="s">
        <v>229</v>
      </c>
    </row>
    <row r="16" spans="1:15" ht="15.75" thickBot="1">
      <c r="A16" s="29">
        <v>13</v>
      </c>
      <c r="B16" s="96" t="s">
        <v>87</v>
      </c>
      <c r="C16" s="96" t="s">
        <v>200</v>
      </c>
      <c r="D16" s="96">
        <v>1</v>
      </c>
      <c r="E16" s="96">
        <v>9.8000000000000004E-2</v>
      </c>
      <c r="F16" s="96" t="s">
        <v>228</v>
      </c>
      <c r="G16" s="96"/>
      <c r="I16" s="29">
        <v>13</v>
      </c>
      <c r="J16" s="96" t="s">
        <v>87</v>
      </c>
      <c r="K16" s="96" t="s">
        <v>200</v>
      </c>
      <c r="L16" s="96">
        <v>1</v>
      </c>
      <c r="M16" s="96">
        <v>9.8000000000000004E-2</v>
      </c>
      <c r="N16" s="96" t="s">
        <v>228</v>
      </c>
      <c r="O16" s="96"/>
    </row>
    <row r="17" spans="1:15" ht="15.75" thickBot="1">
      <c r="A17" s="29">
        <v>14</v>
      </c>
      <c r="B17" s="96" t="s">
        <v>88</v>
      </c>
      <c r="C17" s="96" t="s">
        <v>200</v>
      </c>
      <c r="D17" s="96">
        <v>1</v>
      </c>
      <c r="E17" s="96">
        <v>0.16400000000000001</v>
      </c>
      <c r="F17" s="96" t="s">
        <v>228</v>
      </c>
      <c r="G17" s="96"/>
      <c r="I17" s="29">
        <v>14</v>
      </c>
      <c r="J17" s="96" t="s">
        <v>88</v>
      </c>
      <c r="K17" s="96" t="s">
        <v>200</v>
      </c>
      <c r="L17" s="96">
        <v>1</v>
      </c>
      <c r="M17" s="96">
        <v>0.16400000000000001</v>
      </c>
      <c r="N17" s="96" t="s">
        <v>228</v>
      </c>
      <c r="O17" s="96"/>
    </row>
    <row r="18" spans="1:15" ht="30.75" thickBot="1">
      <c r="A18" s="29">
        <v>15</v>
      </c>
      <c r="B18" s="96" t="s">
        <v>89</v>
      </c>
      <c r="C18" s="96" t="s">
        <v>203</v>
      </c>
      <c r="D18" s="96">
        <v>2</v>
      </c>
      <c r="E18" s="96">
        <v>1.6E-2</v>
      </c>
      <c r="F18" s="96" t="s">
        <v>228</v>
      </c>
      <c r="G18" s="96" t="s">
        <v>229</v>
      </c>
      <c r="I18" s="29">
        <v>15</v>
      </c>
      <c r="J18" s="96" t="s">
        <v>89</v>
      </c>
      <c r="K18" s="96" t="s">
        <v>203</v>
      </c>
      <c r="L18" s="96">
        <v>2</v>
      </c>
      <c r="M18" s="96">
        <v>1.6E-2</v>
      </c>
      <c r="N18" s="96" t="s">
        <v>228</v>
      </c>
      <c r="O18" s="96" t="s">
        <v>229</v>
      </c>
    </row>
    <row r="19" spans="1:15" ht="30.75" thickBot="1">
      <c r="A19" s="29">
        <v>16</v>
      </c>
      <c r="B19" s="96" t="s">
        <v>90</v>
      </c>
      <c r="C19" s="96" t="s">
        <v>200</v>
      </c>
      <c r="D19" s="96">
        <v>1</v>
      </c>
      <c r="E19" s="96">
        <v>0.13100000000000001</v>
      </c>
      <c r="F19" s="96" t="s">
        <v>228</v>
      </c>
      <c r="G19" s="96"/>
      <c r="I19" s="29">
        <v>16</v>
      </c>
      <c r="J19" s="96" t="s">
        <v>90</v>
      </c>
      <c r="K19" s="96" t="s">
        <v>200</v>
      </c>
      <c r="L19" s="96">
        <v>1</v>
      </c>
      <c r="M19" s="96">
        <v>0.13100000000000001</v>
      </c>
      <c r="N19" s="96" t="s">
        <v>228</v>
      </c>
      <c r="O19" s="96"/>
    </row>
    <row r="20" spans="1:15" ht="30.75" thickBot="1">
      <c r="A20" s="29">
        <v>17</v>
      </c>
      <c r="B20" s="96" t="s">
        <v>91</v>
      </c>
      <c r="C20" s="96" t="s">
        <v>203</v>
      </c>
      <c r="D20" s="96">
        <v>2</v>
      </c>
      <c r="E20" s="96">
        <v>3.3000000000000002E-2</v>
      </c>
      <c r="F20" s="96" t="s">
        <v>228</v>
      </c>
      <c r="G20" s="96" t="s">
        <v>229</v>
      </c>
      <c r="I20" s="29">
        <v>17</v>
      </c>
      <c r="J20" s="96" t="s">
        <v>91</v>
      </c>
      <c r="K20" s="96" t="s">
        <v>203</v>
      </c>
      <c r="L20" s="96">
        <v>2</v>
      </c>
      <c r="M20" s="96">
        <v>3.3000000000000002E-2</v>
      </c>
      <c r="N20" s="96" t="s">
        <v>228</v>
      </c>
      <c r="O20" s="96" t="s">
        <v>229</v>
      </c>
    </row>
    <row r="21" spans="1:15" ht="15.75" thickBot="1">
      <c r="A21" s="29">
        <v>18</v>
      </c>
      <c r="B21" s="96" t="s">
        <v>236</v>
      </c>
      <c r="C21" s="96" t="s">
        <v>200</v>
      </c>
      <c r="D21" s="96">
        <v>2</v>
      </c>
      <c r="E21" s="96">
        <v>0.16400000000000001</v>
      </c>
      <c r="F21" s="96" t="s">
        <v>228</v>
      </c>
      <c r="G21" s="96"/>
      <c r="I21" s="29">
        <v>18</v>
      </c>
      <c r="J21" s="96" t="s">
        <v>236</v>
      </c>
      <c r="K21" s="96" t="s">
        <v>200</v>
      </c>
      <c r="L21" s="96">
        <v>2</v>
      </c>
      <c r="M21" s="96">
        <v>0.16400000000000001</v>
      </c>
      <c r="N21" s="96" t="s">
        <v>228</v>
      </c>
      <c r="O21" s="96"/>
    </row>
    <row r="22" spans="1:15" ht="15.75" thickBot="1">
      <c r="A22" s="29">
        <v>19</v>
      </c>
      <c r="B22" s="96" t="s">
        <v>92</v>
      </c>
      <c r="C22" s="96" t="s">
        <v>200</v>
      </c>
      <c r="D22" s="96">
        <v>1</v>
      </c>
      <c r="E22" s="96">
        <v>0.19600000000000001</v>
      </c>
      <c r="F22" s="96" t="s">
        <v>228</v>
      </c>
      <c r="G22" s="96"/>
      <c r="I22" s="29">
        <v>19</v>
      </c>
      <c r="J22" s="96" t="s">
        <v>92</v>
      </c>
      <c r="K22" s="96" t="s">
        <v>200</v>
      </c>
      <c r="L22" s="96">
        <v>1</v>
      </c>
      <c r="M22" s="96">
        <v>0.19600000000000001</v>
      </c>
      <c r="N22" s="96" t="s">
        <v>228</v>
      </c>
      <c r="O22" s="96"/>
    </row>
    <row r="23" spans="1:15" ht="30.75" thickBot="1">
      <c r="A23" s="29">
        <v>20</v>
      </c>
      <c r="B23" s="96" t="s">
        <v>104</v>
      </c>
      <c r="C23" s="96" t="s">
        <v>203</v>
      </c>
      <c r="D23" s="96">
        <v>2</v>
      </c>
      <c r="E23" s="96">
        <v>3.3000000000000002E-2</v>
      </c>
      <c r="F23" s="96"/>
      <c r="G23" s="96" t="s">
        <v>229</v>
      </c>
      <c r="I23" s="29">
        <v>20</v>
      </c>
      <c r="J23" s="96" t="s">
        <v>104</v>
      </c>
      <c r="K23" s="96" t="s">
        <v>203</v>
      </c>
      <c r="L23" s="96">
        <v>2</v>
      </c>
      <c r="M23" s="96">
        <v>3.3000000000000002E-2</v>
      </c>
      <c r="N23" s="96"/>
      <c r="O23" s="96" t="s">
        <v>229</v>
      </c>
    </row>
    <row r="24" spans="1:15" ht="15.75" thickBot="1">
      <c r="A24" s="29">
        <v>21</v>
      </c>
      <c r="B24" s="96" t="s">
        <v>93</v>
      </c>
      <c r="C24" s="96" t="s">
        <v>200</v>
      </c>
      <c r="D24" s="96">
        <v>1</v>
      </c>
      <c r="E24" s="96">
        <v>0.246</v>
      </c>
      <c r="F24" s="96" t="s">
        <v>228</v>
      </c>
      <c r="G24" s="96"/>
      <c r="I24" s="29">
        <v>21</v>
      </c>
      <c r="J24" s="96" t="s">
        <v>93</v>
      </c>
      <c r="K24" s="96" t="s">
        <v>200</v>
      </c>
      <c r="L24" s="96">
        <v>1</v>
      </c>
      <c r="M24" s="96">
        <v>0.246</v>
      </c>
      <c r="N24" s="96" t="s">
        <v>228</v>
      </c>
      <c r="O24" s="96"/>
    </row>
    <row r="25" spans="1:15" ht="15.75" thickBot="1">
      <c r="A25" s="29">
        <v>22</v>
      </c>
      <c r="B25" s="96" t="s">
        <v>94</v>
      </c>
      <c r="C25" s="96" t="s">
        <v>203</v>
      </c>
      <c r="D25" s="96">
        <v>1</v>
      </c>
      <c r="E25" s="96">
        <v>0.16400000000000001</v>
      </c>
      <c r="F25" s="96" t="s">
        <v>228</v>
      </c>
      <c r="G25" s="96"/>
      <c r="I25" s="29">
        <v>22</v>
      </c>
      <c r="J25" s="96" t="s">
        <v>94</v>
      </c>
      <c r="K25" s="96" t="s">
        <v>203</v>
      </c>
      <c r="L25" s="96">
        <v>1</v>
      </c>
      <c r="M25" s="96">
        <v>0.16400000000000001</v>
      </c>
      <c r="N25" s="96" t="s">
        <v>228</v>
      </c>
      <c r="O25" s="96"/>
    </row>
    <row r="26" spans="1:15" ht="45.75" thickBot="1">
      <c r="A26" s="29">
        <v>23</v>
      </c>
      <c r="B26" s="96" t="s">
        <v>95</v>
      </c>
      <c r="C26" s="96" t="s">
        <v>200</v>
      </c>
      <c r="D26" s="96">
        <v>1</v>
      </c>
      <c r="E26" s="96">
        <v>4.9000000000000002E-2</v>
      </c>
      <c r="F26" s="96" t="s">
        <v>228</v>
      </c>
      <c r="G26" s="96"/>
      <c r="I26" s="29">
        <v>23</v>
      </c>
      <c r="J26" s="96" t="s">
        <v>95</v>
      </c>
      <c r="K26" s="96" t="s">
        <v>200</v>
      </c>
      <c r="L26" s="96">
        <v>1</v>
      </c>
      <c r="M26" s="96">
        <v>4.9000000000000002E-2</v>
      </c>
      <c r="N26" s="96" t="s">
        <v>228</v>
      </c>
      <c r="O26" s="96"/>
    </row>
    <row r="27" spans="1:15" ht="15.75" thickBot="1">
      <c r="A27" s="29">
        <v>24</v>
      </c>
      <c r="B27" s="96" t="s">
        <v>96</v>
      </c>
      <c r="C27" s="96" t="s">
        <v>237</v>
      </c>
      <c r="D27" s="96">
        <v>1</v>
      </c>
      <c r="E27" s="96">
        <v>9.8000000000000004E-2</v>
      </c>
      <c r="F27" s="96" t="s">
        <v>228</v>
      </c>
      <c r="G27" s="96"/>
      <c r="I27" s="29">
        <v>24</v>
      </c>
      <c r="J27" s="96" t="s">
        <v>96</v>
      </c>
      <c r="K27" s="96" t="s">
        <v>237</v>
      </c>
      <c r="L27" s="96">
        <v>1</v>
      </c>
      <c r="M27" s="96">
        <v>9.8000000000000004E-2</v>
      </c>
      <c r="N27" s="96" t="s">
        <v>228</v>
      </c>
      <c r="O27" s="96"/>
    </row>
    <row r="28" spans="1:15" ht="15.75" thickBot="1">
      <c r="A28" s="29">
        <v>25</v>
      </c>
      <c r="B28" s="96" t="s">
        <v>97</v>
      </c>
      <c r="C28" s="96" t="s">
        <v>126</v>
      </c>
      <c r="D28" s="96">
        <v>2</v>
      </c>
      <c r="E28" s="96">
        <v>0.13100000000000001</v>
      </c>
      <c r="F28" s="96" t="s">
        <v>228</v>
      </c>
      <c r="G28" s="96"/>
      <c r="I28" s="29">
        <v>25</v>
      </c>
      <c r="J28" s="96" t="s">
        <v>97</v>
      </c>
      <c r="K28" s="96" t="s">
        <v>126</v>
      </c>
      <c r="L28" s="96">
        <v>2</v>
      </c>
      <c r="M28" s="96">
        <v>0.13100000000000001</v>
      </c>
      <c r="N28" s="96" t="s">
        <v>228</v>
      </c>
      <c r="O28" s="96"/>
    </row>
    <row r="29" spans="1:15" ht="30.75" thickBot="1">
      <c r="A29" s="29">
        <v>26</v>
      </c>
      <c r="B29" s="105" t="s">
        <v>98</v>
      </c>
      <c r="C29" s="96"/>
      <c r="D29" s="96">
        <v>1</v>
      </c>
      <c r="E29" s="96">
        <v>0.49099999999999999</v>
      </c>
      <c r="F29" s="96" t="s">
        <v>228</v>
      </c>
      <c r="G29" s="96"/>
      <c r="I29" s="29">
        <v>26</v>
      </c>
      <c r="J29" s="105" t="s">
        <v>98</v>
      </c>
      <c r="K29" s="96"/>
      <c r="L29" s="96">
        <v>1</v>
      </c>
      <c r="M29" s="96">
        <v>0.49099999999999999</v>
      </c>
      <c r="N29" s="96" t="s">
        <v>228</v>
      </c>
      <c r="O29" s="96"/>
    </row>
    <row r="30" spans="1:15" ht="15.75" thickBot="1">
      <c r="A30" s="98"/>
      <c r="B30" s="106" t="s">
        <v>14</v>
      </c>
      <c r="C30" s="99"/>
      <c r="D30" s="107"/>
      <c r="E30" s="99">
        <f>SUM(E4:E29)</f>
        <v>3.7339999999999995</v>
      </c>
      <c r="F30" s="99"/>
      <c r="G30" s="99"/>
      <c r="I30" s="98"/>
      <c r="J30" s="106" t="s">
        <v>14</v>
      </c>
      <c r="K30" s="99"/>
      <c r="L30" s="107"/>
      <c r="M30" s="99">
        <f>SUM(M4:M29)</f>
        <v>3.2099999999999995</v>
      </c>
      <c r="N30" s="99"/>
      <c r="O30" s="99"/>
    </row>
    <row r="31" spans="1:15" ht="15.75" thickBot="1">
      <c r="A31" s="97">
        <v>1.2</v>
      </c>
      <c r="B31" s="105" t="s">
        <v>99</v>
      </c>
      <c r="C31" s="96"/>
      <c r="D31" s="96"/>
      <c r="E31" s="96"/>
      <c r="F31" s="96"/>
      <c r="G31" s="96"/>
      <c r="I31" s="97">
        <v>1.2</v>
      </c>
      <c r="J31" s="105" t="s">
        <v>99</v>
      </c>
      <c r="K31" s="96"/>
      <c r="L31" s="96"/>
      <c r="M31" s="96"/>
      <c r="N31" s="96"/>
      <c r="O31" s="96"/>
    </row>
    <row r="32" spans="1:15" ht="15.75" thickBot="1">
      <c r="A32" s="97">
        <v>1</v>
      </c>
      <c r="B32" s="105" t="s">
        <v>100</v>
      </c>
      <c r="C32" s="96" t="s">
        <v>238</v>
      </c>
      <c r="D32" s="96">
        <v>2</v>
      </c>
      <c r="E32" s="96">
        <v>0.32700000000000001</v>
      </c>
      <c r="F32" s="96" t="s">
        <v>228</v>
      </c>
      <c r="G32" s="96"/>
      <c r="I32" s="97">
        <v>1</v>
      </c>
      <c r="J32" s="105" t="s">
        <v>100</v>
      </c>
      <c r="K32" s="96" t="s">
        <v>238</v>
      </c>
      <c r="L32" s="96">
        <v>2</v>
      </c>
      <c r="M32" s="96">
        <v>0.32700000000000001</v>
      </c>
      <c r="N32" s="96" t="s">
        <v>228</v>
      </c>
      <c r="O32" s="96"/>
    </row>
    <row r="33" spans="1:15" ht="15.75" thickBot="1">
      <c r="A33" s="97">
        <v>2</v>
      </c>
      <c r="B33" s="105" t="s">
        <v>102</v>
      </c>
      <c r="C33" s="96" t="s">
        <v>239</v>
      </c>
      <c r="D33" s="96">
        <v>1</v>
      </c>
      <c r="E33" s="96">
        <v>0.14699999999999999</v>
      </c>
      <c r="F33" s="96" t="s">
        <v>228</v>
      </c>
      <c r="G33" s="96"/>
      <c r="I33" s="97">
        <v>2</v>
      </c>
      <c r="J33" s="105" t="s">
        <v>102</v>
      </c>
      <c r="K33" s="96" t="s">
        <v>239</v>
      </c>
      <c r="L33" s="96">
        <v>1</v>
      </c>
      <c r="M33" s="96">
        <v>0.14699999999999999</v>
      </c>
      <c r="N33" s="96" t="s">
        <v>228</v>
      </c>
      <c r="O33" s="96"/>
    </row>
    <row r="34" spans="1:15" ht="15.75" thickBot="1">
      <c r="A34" s="29">
        <v>3</v>
      </c>
      <c r="B34" s="96" t="s">
        <v>240</v>
      </c>
      <c r="C34" s="96" t="s">
        <v>120</v>
      </c>
      <c r="D34" s="96">
        <v>1</v>
      </c>
      <c r="E34" s="96">
        <v>4.1000000000000002E-2</v>
      </c>
      <c r="F34" s="96" t="s">
        <v>228</v>
      </c>
      <c r="G34" s="96"/>
      <c r="I34" s="29">
        <v>3</v>
      </c>
      <c r="J34" s="96" t="s">
        <v>240</v>
      </c>
      <c r="K34" s="96" t="s">
        <v>120</v>
      </c>
      <c r="L34" s="96">
        <v>1</v>
      </c>
      <c r="M34" s="96">
        <v>4.1000000000000002E-2</v>
      </c>
      <c r="N34" s="96" t="s">
        <v>228</v>
      </c>
      <c r="O34" s="96"/>
    </row>
    <row r="35" spans="1:15" ht="45.75" thickBot="1">
      <c r="A35" s="29">
        <v>4</v>
      </c>
      <c r="B35" s="96" t="s">
        <v>104</v>
      </c>
      <c r="C35" s="96" t="s">
        <v>241</v>
      </c>
      <c r="D35" s="96">
        <v>4</v>
      </c>
      <c r="E35" s="96">
        <v>0.02</v>
      </c>
      <c r="F35" s="96" t="s">
        <v>228</v>
      </c>
      <c r="G35" s="96" t="s">
        <v>103</v>
      </c>
      <c r="I35" s="29">
        <v>4</v>
      </c>
      <c r="J35" s="96" t="s">
        <v>104</v>
      </c>
      <c r="K35" s="96" t="s">
        <v>241</v>
      </c>
      <c r="L35" s="96">
        <v>4</v>
      </c>
      <c r="M35" s="96">
        <v>0.02</v>
      </c>
      <c r="N35" s="96" t="s">
        <v>228</v>
      </c>
      <c r="O35" s="96" t="s">
        <v>103</v>
      </c>
    </row>
    <row r="36" spans="1:15" ht="15.75" thickBot="1">
      <c r="A36" s="97">
        <v>5</v>
      </c>
      <c r="B36" s="96" t="s">
        <v>106</v>
      </c>
      <c r="C36" s="96" t="s">
        <v>242</v>
      </c>
      <c r="D36" s="96">
        <v>1</v>
      </c>
      <c r="E36" s="96">
        <v>4.1000000000000002E-2</v>
      </c>
      <c r="F36" s="96" t="s">
        <v>228</v>
      </c>
      <c r="G36" s="96"/>
      <c r="I36" s="29">
        <v>5</v>
      </c>
      <c r="J36" s="96" t="s">
        <v>106</v>
      </c>
      <c r="K36" s="96" t="s">
        <v>242</v>
      </c>
      <c r="L36" s="96">
        <v>1</v>
      </c>
      <c r="M36" s="96">
        <v>4.1000000000000002E-2</v>
      </c>
      <c r="N36" s="96" t="s">
        <v>228</v>
      </c>
      <c r="O36" s="96"/>
    </row>
    <row r="37" spans="1:15" ht="15.75" thickBot="1">
      <c r="A37" s="97">
        <v>6</v>
      </c>
      <c r="B37" s="96" t="s">
        <v>107</v>
      </c>
      <c r="C37" s="96" t="s">
        <v>121</v>
      </c>
      <c r="D37" s="96">
        <v>1</v>
      </c>
      <c r="E37" s="96">
        <v>2.5000000000000001E-2</v>
      </c>
      <c r="F37" s="96" t="s">
        <v>228</v>
      </c>
      <c r="G37" s="96"/>
      <c r="I37" s="29">
        <v>6</v>
      </c>
      <c r="J37" s="96" t="s">
        <v>107</v>
      </c>
      <c r="K37" s="96" t="s">
        <v>121</v>
      </c>
      <c r="L37" s="96">
        <v>1</v>
      </c>
      <c r="M37" s="96">
        <v>2.5000000000000001E-2</v>
      </c>
      <c r="N37" s="96" t="s">
        <v>228</v>
      </c>
      <c r="O37" s="96"/>
    </row>
    <row r="38" spans="1:15" ht="15.75" thickBot="1">
      <c r="A38" s="29">
        <v>7</v>
      </c>
      <c r="B38" s="96" t="s">
        <v>108</v>
      </c>
      <c r="C38" s="96" t="s">
        <v>243</v>
      </c>
      <c r="D38" s="96">
        <v>1</v>
      </c>
      <c r="E38" s="96">
        <v>0.02</v>
      </c>
      <c r="F38" s="96" t="s">
        <v>228</v>
      </c>
      <c r="G38" s="96"/>
      <c r="I38" s="29">
        <v>7</v>
      </c>
      <c r="J38" s="96" t="s">
        <v>108</v>
      </c>
      <c r="K38" s="96" t="s">
        <v>243</v>
      </c>
      <c r="L38" s="96">
        <v>1</v>
      </c>
      <c r="M38" s="96">
        <v>0.02</v>
      </c>
      <c r="N38" s="96" t="s">
        <v>228</v>
      </c>
      <c r="O38" s="96"/>
    </row>
    <row r="39" spans="1:15" ht="21.75" customHeight="1" thickBot="1">
      <c r="A39" s="29">
        <v>8</v>
      </c>
      <c r="B39" s="96" t="s">
        <v>82</v>
      </c>
      <c r="C39" s="96" t="s">
        <v>244</v>
      </c>
      <c r="D39" s="96">
        <v>1</v>
      </c>
      <c r="E39" s="96">
        <v>0.49099999999999999</v>
      </c>
      <c r="F39" s="96" t="s">
        <v>228</v>
      </c>
      <c r="G39" s="96"/>
      <c r="I39" s="29">
        <v>8</v>
      </c>
      <c r="J39" s="96" t="s">
        <v>82</v>
      </c>
      <c r="K39" s="96" t="s">
        <v>244</v>
      </c>
      <c r="L39" s="96">
        <v>1</v>
      </c>
      <c r="M39" s="96">
        <v>0.49099999999999999</v>
      </c>
      <c r="N39" s="96" t="s">
        <v>228</v>
      </c>
      <c r="O39" s="96"/>
    </row>
    <row r="40" spans="1:15" ht="15.75" thickBot="1">
      <c r="A40" s="97">
        <v>9</v>
      </c>
      <c r="B40" s="96" t="s">
        <v>109</v>
      </c>
      <c r="C40" s="96" t="s">
        <v>245</v>
      </c>
      <c r="D40" s="96">
        <v>1</v>
      </c>
      <c r="E40" s="96">
        <v>0.02</v>
      </c>
      <c r="F40" s="96" t="s">
        <v>228</v>
      </c>
      <c r="G40" s="96"/>
      <c r="I40" s="29">
        <v>9</v>
      </c>
      <c r="J40" s="96" t="s">
        <v>109</v>
      </c>
      <c r="K40" s="96" t="s">
        <v>245</v>
      </c>
      <c r="L40" s="96">
        <v>1</v>
      </c>
      <c r="M40" s="96">
        <v>0.02</v>
      </c>
      <c r="N40" s="96" t="s">
        <v>228</v>
      </c>
      <c r="O40" s="96"/>
    </row>
    <row r="41" spans="1:15" ht="15.75" thickBot="1">
      <c r="A41" s="97">
        <v>10</v>
      </c>
      <c r="B41" s="96" t="s">
        <v>240</v>
      </c>
      <c r="C41" s="96" t="s">
        <v>246</v>
      </c>
      <c r="D41" s="96">
        <v>1</v>
      </c>
      <c r="E41" s="96">
        <v>3.3000000000000002E-2</v>
      </c>
      <c r="F41" s="96" t="s">
        <v>228</v>
      </c>
      <c r="G41" s="96"/>
      <c r="I41" s="29">
        <v>10</v>
      </c>
      <c r="J41" s="96" t="s">
        <v>240</v>
      </c>
      <c r="K41" s="96" t="s">
        <v>246</v>
      </c>
      <c r="L41" s="96">
        <v>1</v>
      </c>
      <c r="M41" s="96">
        <v>3.3000000000000002E-2</v>
      </c>
      <c r="N41" s="96" t="s">
        <v>228</v>
      </c>
      <c r="O41" s="96"/>
    </row>
    <row r="42" spans="1:15" ht="15.75" thickBot="1">
      <c r="A42" s="29">
        <v>11</v>
      </c>
      <c r="B42" s="96" t="s">
        <v>82</v>
      </c>
      <c r="C42" s="96" t="s">
        <v>247</v>
      </c>
      <c r="D42" s="96">
        <v>1</v>
      </c>
      <c r="E42" s="96">
        <v>0.49099999999999999</v>
      </c>
      <c r="F42" s="96" t="s">
        <v>232</v>
      </c>
      <c r="G42" s="96"/>
      <c r="I42" s="29">
        <v>11</v>
      </c>
      <c r="J42" s="96" t="s">
        <v>82</v>
      </c>
      <c r="K42" s="96" t="s">
        <v>247</v>
      </c>
      <c r="L42" s="96">
        <v>1</v>
      </c>
      <c r="M42" s="96">
        <v>0.49099999999999999</v>
      </c>
      <c r="N42" s="96" t="s">
        <v>232</v>
      </c>
      <c r="O42" s="96"/>
    </row>
    <row r="43" spans="1:15" ht="15.75" thickBot="1">
      <c r="A43" s="29">
        <v>12</v>
      </c>
      <c r="B43" s="96" t="s">
        <v>240</v>
      </c>
      <c r="C43" s="96" t="s">
        <v>246</v>
      </c>
      <c r="D43" s="96">
        <v>1</v>
      </c>
      <c r="E43" s="96">
        <v>4.9000000000000002E-2</v>
      </c>
      <c r="F43" s="96" t="s">
        <v>228</v>
      </c>
      <c r="G43" s="96"/>
      <c r="I43" s="29">
        <v>12</v>
      </c>
      <c r="J43" s="96" t="s">
        <v>240</v>
      </c>
      <c r="K43" s="96" t="s">
        <v>246</v>
      </c>
      <c r="L43" s="96">
        <v>1</v>
      </c>
      <c r="M43" s="96">
        <v>4.9000000000000002E-2</v>
      </c>
      <c r="N43" s="96" t="s">
        <v>228</v>
      </c>
      <c r="O43" s="96"/>
    </row>
    <row r="44" spans="1:15" ht="15.75" thickBot="1">
      <c r="A44" s="97">
        <v>13</v>
      </c>
      <c r="B44" s="96" t="s">
        <v>110</v>
      </c>
      <c r="C44" s="96" t="s">
        <v>122</v>
      </c>
      <c r="D44" s="96">
        <v>1</v>
      </c>
      <c r="E44" s="96">
        <v>3.0000000000000001E-3</v>
      </c>
      <c r="F44" s="96" t="s">
        <v>228</v>
      </c>
      <c r="G44" s="96"/>
      <c r="I44" s="29">
        <v>13</v>
      </c>
      <c r="J44" s="96" t="s">
        <v>110</v>
      </c>
      <c r="K44" s="96" t="s">
        <v>122</v>
      </c>
      <c r="L44" s="96">
        <v>1</v>
      </c>
      <c r="M44" s="96">
        <v>3.0000000000000001E-3</v>
      </c>
      <c r="N44" s="96" t="s">
        <v>228</v>
      </c>
      <c r="O44" s="96"/>
    </row>
    <row r="45" spans="1:15" ht="15.75" thickBot="1">
      <c r="A45" s="97">
        <v>14</v>
      </c>
      <c r="B45" s="96" t="s">
        <v>111</v>
      </c>
      <c r="C45" s="96" t="s">
        <v>248</v>
      </c>
      <c r="D45" s="96">
        <v>1</v>
      </c>
      <c r="E45" s="96">
        <v>1.6E-2</v>
      </c>
      <c r="F45" s="96" t="s">
        <v>228</v>
      </c>
      <c r="G45" s="96"/>
      <c r="I45" s="29">
        <v>14</v>
      </c>
      <c r="J45" s="96" t="s">
        <v>111</v>
      </c>
      <c r="K45" s="96" t="s">
        <v>248</v>
      </c>
      <c r="L45" s="96">
        <v>1</v>
      </c>
      <c r="M45" s="96">
        <v>1.6E-2</v>
      </c>
      <c r="N45" s="96" t="s">
        <v>228</v>
      </c>
      <c r="O45" s="96"/>
    </row>
    <row r="46" spans="1:15" ht="15.75" thickBot="1">
      <c r="A46" s="29">
        <v>15</v>
      </c>
      <c r="B46" s="96" t="s">
        <v>82</v>
      </c>
      <c r="C46" s="96" t="s">
        <v>249</v>
      </c>
      <c r="D46" s="96">
        <v>1</v>
      </c>
      <c r="E46" s="96">
        <v>0.49099999999999999</v>
      </c>
      <c r="F46" s="96" t="s">
        <v>232</v>
      </c>
      <c r="G46" s="96"/>
      <c r="I46" s="29">
        <v>15</v>
      </c>
      <c r="J46" s="96" t="s">
        <v>82</v>
      </c>
      <c r="K46" s="96" t="s">
        <v>249</v>
      </c>
      <c r="L46" s="96">
        <v>1</v>
      </c>
      <c r="M46" s="96">
        <v>0.49099999999999999</v>
      </c>
      <c r="N46" s="96" t="s">
        <v>232</v>
      </c>
      <c r="O46" s="96"/>
    </row>
    <row r="47" spans="1:15" ht="15.75" thickBot="1">
      <c r="A47" s="29">
        <v>16</v>
      </c>
      <c r="B47" s="96" t="s">
        <v>112</v>
      </c>
      <c r="C47" s="96" t="s">
        <v>245</v>
      </c>
      <c r="D47" s="96">
        <v>1</v>
      </c>
      <c r="E47" s="96">
        <v>5.0000000000000001E-3</v>
      </c>
      <c r="F47" s="96" t="s">
        <v>228</v>
      </c>
      <c r="G47" s="96"/>
      <c r="I47" s="29">
        <v>16</v>
      </c>
      <c r="J47" s="96" t="s">
        <v>112</v>
      </c>
      <c r="K47" s="96" t="s">
        <v>245</v>
      </c>
      <c r="L47" s="96">
        <v>1</v>
      </c>
      <c r="M47" s="96">
        <v>5.0000000000000001E-3</v>
      </c>
      <c r="N47" s="96" t="s">
        <v>228</v>
      </c>
      <c r="O47" s="96"/>
    </row>
    <row r="48" spans="1:15" ht="15.75" thickBot="1">
      <c r="A48" s="97">
        <v>17</v>
      </c>
      <c r="B48" s="96" t="s">
        <v>240</v>
      </c>
      <c r="C48" s="96" t="s">
        <v>246</v>
      </c>
      <c r="D48" s="96">
        <v>1</v>
      </c>
      <c r="E48" s="96">
        <v>4.9000000000000002E-2</v>
      </c>
      <c r="F48" s="96" t="s">
        <v>228</v>
      </c>
      <c r="G48" s="96"/>
      <c r="I48" s="29">
        <v>17</v>
      </c>
      <c r="J48" s="96" t="s">
        <v>240</v>
      </c>
      <c r="K48" s="96" t="s">
        <v>246</v>
      </c>
      <c r="L48" s="96">
        <v>1</v>
      </c>
      <c r="M48" s="96">
        <v>4.9000000000000002E-2</v>
      </c>
      <c r="N48" s="96" t="s">
        <v>228</v>
      </c>
      <c r="O48" s="96"/>
    </row>
    <row r="49" spans="1:15" ht="15.75" thickBot="1">
      <c r="A49" s="97">
        <v>18</v>
      </c>
      <c r="B49" s="96" t="s">
        <v>113</v>
      </c>
      <c r="C49" s="96" t="s">
        <v>248</v>
      </c>
      <c r="D49" s="96">
        <v>1</v>
      </c>
      <c r="E49" s="96">
        <v>1.6E-2</v>
      </c>
      <c r="F49" s="96" t="s">
        <v>228</v>
      </c>
      <c r="G49" s="96"/>
      <c r="I49" s="29">
        <v>18</v>
      </c>
      <c r="J49" s="96" t="s">
        <v>113</v>
      </c>
      <c r="K49" s="96" t="s">
        <v>248</v>
      </c>
      <c r="L49" s="96">
        <v>1</v>
      </c>
      <c r="M49" s="96">
        <v>1.6E-2</v>
      </c>
      <c r="N49" s="96" t="s">
        <v>228</v>
      </c>
      <c r="O49" s="96"/>
    </row>
    <row r="50" spans="1:15" ht="15.75" thickBot="1">
      <c r="A50" s="29">
        <v>19</v>
      </c>
      <c r="B50" s="96" t="s">
        <v>114</v>
      </c>
      <c r="C50" s="96" t="s">
        <v>250</v>
      </c>
      <c r="D50" s="96">
        <v>1</v>
      </c>
      <c r="E50" s="96">
        <v>0.32700000000000001</v>
      </c>
      <c r="F50" s="96" t="s">
        <v>232</v>
      </c>
      <c r="G50" s="96"/>
      <c r="I50" s="29">
        <v>19</v>
      </c>
      <c r="J50" s="96" t="s">
        <v>114</v>
      </c>
      <c r="K50" s="96" t="s">
        <v>250</v>
      </c>
      <c r="L50" s="96">
        <v>1</v>
      </c>
      <c r="M50" s="96">
        <v>0.32700000000000001</v>
      </c>
      <c r="N50" s="96" t="s">
        <v>232</v>
      </c>
      <c r="O50" s="96"/>
    </row>
    <row r="51" spans="1:15" ht="15.75" thickBot="1">
      <c r="A51" s="29">
        <v>20</v>
      </c>
      <c r="B51" s="96" t="s">
        <v>240</v>
      </c>
      <c r="C51" s="96" t="s">
        <v>251</v>
      </c>
      <c r="D51" s="96">
        <v>1</v>
      </c>
      <c r="E51" s="96">
        <v>6.5000000000000002E-2</v>
      </c>
      <c r="F51" s="96" t="s">
        <v>228</v>
      </c>
      <c r="G51" s="96"/>
      <c r="I51" s="29">
        <v>20</v>
      </c>
      <c r="J51" s="96" t="s">
        <v>240</v>
      </c>
      <c r="K51" s="96" t="s">
        <v>251</v>
      </c>
      <c r="L51" s="96">
        <v>1</v>
      </c>
      <c r="M51" s="96">
        <v>6.5000000000000002E-2</v>
      </c>
      <c r="N51" s="96" t="s">
        <v>228</v>
      </c>
      <c r="O51" s="96"/>
    </row>
    <row r="52" spans="1:15" ht="15.75" thickBot="1">
      <c r="A52" s="97">
        <v>21</v>
      </c>
      <c r="B52" s="96" t="s">
        <v>115</v>
      </c>
      <c r="C52" s="96" t="s">
        <v>252</v>
      </c>
      <c r="D52" s="96">
        <v>1</v>
      </c>
      <c r="E52" s="96">
        <v>1.6E-2</v>
      </c>
      <c r="F52" s="96" t="s">
        <v>228</v>
      </c>
      <c r="G52" s="96"/>
      <c r="I52" s="29">
        <v>21</v>
      </c>
      <c r="J52" s="96" t="s">
        <v>115</v>
      </c>
      <c r="K52" s="96" t="s">
        <v>252</v>
      </c>
      <c r="L52" s="96">
        <v>1</v>
      </c>
      <c r="M52" s="96">
        <v>1.6E-2</v>
      </c>
      <c r="N52" s="96" t="s">
        <v>228</v>
      </c>
      <c r="O52" s="96"/>
    </row>
    <row r="53" spans="1:15" ht="15.75" thickBot="1">
      <c r="A53" s="97">
        <v>22</v>
      </c>
      <c r="B53" s="96" t="s">
        <v>123</v>
      </c>
      <c r="C53" s="96" t="s">
        <v>124</v>
      </c>
      <c r="D53" s="96">
        <v>1</v>
      </c>
      <c r="E53" s="96">
        <v>3.3000000000000002E-2</v>
      </c>
      <c r="F53" s="96" t="s">
        <v>228</v>
      </c>
      <c r="G53" s="96"/>
      <c r="I53" s="29">
        <v>22</v>
      </c>
      <c r="J53" s="96" t="s">
        <v>123</v>
      </c>
      <c r="K53" s="96" t="s">
        <v>124</v>
      </c>
      <c r="L53" s="96">
        <v>1</v>
      </c>
      <c r="M53" s="96">
        <v>3.3000000000000002E-2</v>
      </c>
      <c r="N53" s="96" t="s">
        <v>228</v>
      </c>
      <c r="O53" s="96"/>
    </row>
    <row r="54" spans="1:15" ht="15.75" thickBot="1">
      <c r="A54" s="29">
        <v>23</v>
      </c>
      <c r="B54" s="96" t="s">
        <v>116</v>
      </c>
      <c r="C54" s="96" t="s">
        <v>253</v>
      </c>
      <c r="D54" s="96">
        <v>1</v>
      </c>
      <c r="E54" s="96">
        <v>6.5000000000000002E-2</v>
      </c>
      <c r="F54" s="96" t="s">
        <v>228</v>
      </c>
      <c r="G54" s="96"/>
      <c r="I54" s="29">
        <v>23</v>
      </c>
      <c r="J54" s="96" t="s">
        <v>116</v>
      </c>
      <c r="K54" s="96" t="s">
        <v>253</v>
      </c>
      <c r="L54" s="96">
        <v>1</v>
      </c>
      <c r="M54" s="96">
        <v>6.5000000000000002E-2</v>
      </c>
      <c r="N54" s="96" t="s">
        <v>228</v>
      </c>
      <c r="O54" s="96"/>
    </row>
    <row r="55" spans="1:15" ht="15.75" thickBot="1">
      <c r="A55" s="29">
        <v>24</v>
      </c>
      <c r="B55" s="96" t="s">
        <v>117</v>
      </c>
      <c r="C55" s="96" t="s">
        <v>125</v>
      </c>
      <c r="D55" s="96">
        <v>1</v>
      </c>
      <c r="E55" s="96">
        <v>0.13100000000000001</v>
      </c>
      <c r="F55" s="96" t="s">
        <v>228</v>
      </c>
      <c r="G55" s="96"/>
      <c r="I55" s="29">
        <v>24</v>
      </c>
      <c r="J55" s="96" t="s">
        <v>117</v>
      </c>
      <c r="K55" s="96" t="s">
        <v>125</v>
      </c>
      <c r="L55" s="96">
        <v>1</v>
      </c>
      <c r="M55" s="96">
        <v>0.13100000000000001</v>
      </c>
      <c r="N55" s="96" t="s">
        <v>228</v>
      </c>
      <c r="O55" s="96"/>
    </row>
    <row r="56" spans="1:15" ht="45.75" thickBot="1">
      <c r="A56" s="97">
        <v>25</v>
      </c>
      <c r="B56" s="96" t="s">
        <v>254</v>
      </c>
      <c r="C56" s="96" t="s">
        <v>260</v>
      </c>
      <c r="D56" s="96">
        <v>4</v>
      </c>
      <c r="E56" s="96">
        <v>9.8000000000000004E-2</v>
      </c>
      <c r="F56" s="96" t="s">
        <v>228</v>
      </c>
      <c r="G56" s="96"/>
      <c r="I56" s="29">
        <v>25</v>
      </c>
      <c r="J56" s="96" t="s">
        <v>255</v>
      </c>
      <c r="K56" s="96" t="s">
        <v>256</v>
      </c>
      <c r="L56" s="96">
        <v>4</v>
      </c>
      <c r="M56" s="96">
        <v>9.8000000000000004E-2</v>
      </c>
      <c r="N56" s="96" t="s">
        <v>228</v>
      </c>
      <c r="O56" s="96"/>
    </row>
    <row r="57" spans="1:15" ht="15.75" thickBot="1">
      <c r="A57" s="97">
        <v>26</v>
      </c>
      <c r="B57" s="96" t="s">
        <v>118</v>
      </c>
      <c r="C57" s="96" t="s">
        <v>257</v>
      </c>
      <c r="D57" s="96">
        <v>1</v>
      </c>
      <c r="E57" s="96">
        <v>2.5000000000000001E-2</v>
      </c>
      <c r="F57" s="96" t="s">
        <v>228</v>
      </c>
      <c r="G57" s="96"/>
      <c r="I57" s="29">
        <v>26</v>
      </c>
      <c r="J57" s="96" t="s">
        <v>118</v>
      </c>
      <c r="K57" s="96" t="s">
        <v>257</v>
      </c>
      <c r="L57" s="96">
        <v>1</v>
      </c>
      <c r="M57" s="96">
        <v>2.5000000000000001E-2</v>
      </c>
      <c r="N57" s="96" t="s">
        <v>228</v>
      </c>
      <c r="O57" s="96"/>
    </row>
    <row r="58" spans="1:15" ht="15.75" thickBot="1">
      <c r="A58" s="29">
        <v>27</v>
      </c>
      <c r="B58" s="96" t="s">
        <v>93</v>
      </c>
      <c r="C58" s="96" t="s">
        <v>105</v>
      </c>
      <c r="D58" s="96">
        <v>4</v>
      </c>
      <c r="E58" s="96">
        <v>0.69799999999999995</v>
      </c>
      <c r="F58" s="96" t="s">
        <v>228</v>
      </c>
      <c r="G58" s="96"/>
      <c r="I58" s="29">
        <v>27</v>
      </c>
      <c r="J58" s="96" t="s">
        <v>93</v>
      </c>
      <c r="K58" s="96" t="s">
        <v>105</v>
      </c>
      <c r="L58" s="96">
        <v>4</v>
      </c>
      <c r="M58" s="96">
        <v>0.69799999999999995</v>
      </c>
      <c r="N58" s="96" t="s">
        <v>228</v>
      </c>
      <c r="O58" s="96"/>
    </row>
    <row r="59" spans="1:15" ht="15.75" thickBot="1">
      <c r="A59" s="29">
        <v>28</v>
      </c>
      <c r="B59" s="96" t="s">
        <v>258</v>
      </c>
      <c r="C59" s="96" t="s">
        <v>259</v>
      </c>
      <c r="D59" s="96">
        <v>4</v>
      </c>
      <c r="E59" s="96">
        <v>9.8000000000000004E-2</v>
      </c>
      <c r="F59" s="96" t="s">
        <v>228</v>
      </c>
      <c r="G59" s="96"/>
      <c r="I59" s="29">
        <v>28</v>
      </c>
      <c r="J59" s="96" t="s">
        <v>258</v>
      </c>
      <c r="K59" s="96" t="s">
        <v>259</v>
      </c>
      <c r="L59" s="96">
        <v>4</v>
      </c>
      <c r="M59" s="96">
        <v>9.8000000000000004E-2</v>
      </c>
      <c r="N59" s="96" t="s">
        <v>228</v>
      </c>
      <c r="O59" s="96"/>
    </row>
    <row r="60" spans="1:15" ht="15.75" thickBot="1">
      <c r="A60" s="97">
        <v>29</v>
      </c>
      <c r="B60" s="96" t="s">
        <v>119</v>
      </c>
      <c r="C60" s="96" t="s">
        <v>252</v>
      </c>
      <c r="D60" s="96">
        <v>4</v>
      </c>
      <c r="E60" s="96">
        <v>7.9000000000000001E-2</v>
      </c>
      <c r="F60" s="96" t="s">
        <v>228</v>
      </c>
      <c r="G60" s="96"/>
      <c r="I60" s="29">
        <v>29</v>
      </c>
      <c r="J60" s="96" t="s">
        <v>119</v>
      </c>
      <c r="K60" s="96" t="s">
        <v>252</v>
      </c>
      <c r="L60" s="96">
        <v>4</v>
      </c>
      <c r="M60" s="96">
        <v>7.9000000000000001E-2</v>
      </c>
      <c r="N60" s="96" t="s">
        <v>228</v>
      </c>
      <c r="O60" s="96"/>
    </row>
    <row r="61" spans="1:15" ht="15.75" thickBot="1">
      <c r="A61" s="97">
        <v>30</v>
      </c>
      <c r="B61" s="96" t="s">
        <v>104</v>
      </c>
      <c r="C61" s="96" t="s">
        <v>241</v>
      </c>
      <c r="D61" s="96">
        <v>5</v>
      </c>
      <c r="E61" s="96">
        <v>8.2000000000000003E-2</v>
      </c>
      <c r="F61" s="96" t="s">
        <v>228</v>
      </c>
      <c r="G61" s="96"/>
      <c r="I61" s="29">
        <v>30</v>
      </c>
      <c r="J61" s="96" t="s">
        <v>104</v>
      </c>
      <c r="K61" s="96" t="s">
        <v>241</v>
      </c>
      <c r="L61" s="96">
        <v>5</v>
      </c>
      <c r="M61" s="96">
        <v>8.2000000000000003E-2</v>
      </c>
      <c r="N61" s="96" t="s">
        <v>228</v>
      </c>
      <c r="O61" s="96"/>
    </row>
    <row r="62" spans="1:15" ht="15.75" thickBot="1">
      <c r="A62" s="108"/>
      <c r="B62" s="100" t="s">
        <v>14</v>
      </c>
      <c r="C62" s="100"/>
      <c r="D62" s="100"/>
      <c r="E62" s="100">
        <f>SUM(E32:E61)</f>
        <v>4.0019999999999998</v>
      </c>
      <c r="F62" s="100"/>
      <c r="G62" s="100"/>
      <c r="I62" s="111"/>
      <c r="J62" s="100" t="s">
        <v>14</v>
      </c>
      <c r="K62" s="100"/>
      <c r="L62" s="100"/>
      <c r="M62" s="100">
        <f>SUM(M32:M61)</f>
        <v>4.0019999999999998</v>
      </c>
      <c r="N62" s="100"/>
      <c r="O62" s="96"/>
    </row>
    <row r="63" spans="1:15" ht="15.75" thickBot="1">
      <c r="A63" s="109">
        <v>1.3</v>
      </c>
      <c r="B63" s="99" t="s">
        <v>137</v>
      </c>
      <c r="C63" s="99" t="s">
        <v>138</v>
      </c>
      <c r="D63" s="99"/>
      <c r="E63" s="99">
        <v>0.47699999999999998</v>
      </c>
      <c r="F63" s="99"/>
      <c r="G63" s="99"/>
      <c r="I63" s="109">
        <v>1.3</v>
      </c>
      <c r="J63" s="99" t="s">
        <v>137</v>
      </c>
      <c r="K63" s="99" t="s">
        <v>138</v>
      </c>
      <c r="L63" s="99"/>
      <c r="M63" s="99">
        <v>0.47699999999999998</v>
      </c>
      <c r="N63" s="99"/>
      <c r="O63" s="99"/>
    </row>
    <row r="64" spans="1:15" ht="15.75" thickBot="1">
      <c r="A64" s="108"/>
      <c r="B64" s="96" t="s">
        <v>264</v>
      </c>
      <c r="C64" s="96"/>
      <c r="D64" s="96"/>
      <c r="E64" s="101">
        <f>E63+E62+E30</f>
        <v>8.2129999999999992</v>
      </c>
      <c r="F64" s="96"/>
      <c r="G64" s="110"/>
      <c r="I64" s="108"/>
      <c r="J64" s="96" t="s">
        <v>264</v>
      </c>
      <c r="K64" s="96"/>
      <c r="L64" s="96"/>
      <c r="M64" s="101">
        <f>M30+M62+M63</f>
        <v>7.6890000000000001</v>
      </c>
      <c r="N64" s="96"/>
      <c r="O64" s="110"/>
    </row>
    <row r="65" spans="1:1" ht="15.75">
      <c r="A65" s="102"/>
    </row>
  </sheetData>
  <mergeCells count="15">
    <mergeCell ref="K9:O10"/>
    <mergeCell ref="A1:G1"/>
    <mergeCell ref="I1:O1"/>
    <mergeCell ref="A2:A3"/>
    <mergeCell ref="B2:B3"/>
    <mergeCell ref="C2:C3"/>
    <mergeCell ref="D2:D3"/>
    <mergeCell ref="F2:F3"/>
    <mergeCell ref="G2:G3"/>
    <mergeCell ref="I2:I3"/>
    <mergeCell ref="J2:J3"/>
    <mergeCell ref="K2:K3"/>
    <mergeCell ref="L2:L3"/>
    <mergeCell ref="N2:N3"/>
    <mergeCell ref="O2:O3"/>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57482E-F184-4120-81F6-13668903C5E2}">
  <dimension ref="A1:E21"/>
  <sheetViews>
    <sheetView showGridLines="0" workbookViewId="0">
      <selection activeCell="C1" sqref="C1"/>
    </sheetView>
  </sheetViews>
  <sheetFormatPr defaultRowHeight="15"/>
  <cols>
    <col min="1" max="1" width="3" bestFit="1" customWidth="1"/>
    <col min="2" max="2" width="33.140625" customWidth="1"/>
    <col min="3" max="3" width="18.42578125" bestFit="1" customWidth="1"/>
    <col min="5" max="5" width="26.28515625" customWidth="1"/>
    <col min="6" max="6" width="10.140625" customWidth="1"/>
    <col min="7" max="7" width="9.42578125" customWidth="1"/>
  </cols>
  <sheetData>
    <row r="1" spans="1:5">
      <c r="A1" s="124"/>
      <c r="B1" s="125" t="s">
        <v>20</v>
      </c>
      <c r="C1" s="126" t="s">
        <v>17</v>
      </c>
    </row>
    <row r="2" spans="1:5">
      <c r="A2" s="113" t="s">
        <v>3</v>
      </c>
      <c r="B2" s="112" t="s">
        <v>21</v>
      </c>
      <c r="C2" s="114">
        <f>C12+C3</f>
        <v>33373154.779999997</v>
      </c>
    </row>
    <row r="3" spans="1:5">
      <c r="A3" s="115" t="s">
        <v>22</v>
      </c>
      <c r="B3" s="49" t="s">
        <v>23</v>
      </c>
      <c r="C3" s="116">
        <f>SUM(C4:C11)</f>
        <v>23684174.359999996</v>
      </c>
    </row>
    <row r="4" spans="1:5" ht="24">
      <c r="A4" s="117">
        <v>1</v>
      </c>
      <c r="B4" s="32" t="s">
        <v>24</v>
      </c>
      <c r="C4" s="118">
        <v>7689667</v>
      </c>
    </row>
    <row r="5" spans="1:5">
      <c r="A5" s="117">
        <v>2</v>
      </c>
      <c r="B5" s="32" t="s">
        <v>25</v>
      </c>
      <c r="C5" s="118">
        <v>2998970.13</v>
      </c>
    </row>
    <row r="6" spans="1:5">
      <c r="A6" s="117">
        <v>3</v>
      </c>
      <c r="B6" s="32" t="s">
        <v>26</v>
      </c>
      <c r="C6" s="118">
        <v>1999313.4200000002</v>
      </c>
    </row>
    <row r="7" spans="1:5">
      <c r="A7" s="117">
        <v>4</v>
      </c>
      <c r="B7" s="32" t="s">
        <v>27</v>
      </c>
      <c r="C7" s="118">
        <v>2383796.77</v>
      </c>
    </row>
    <row r="8" spans="1:5">
      <c r="A8" s="117">
        <v>5</v>
      </c>
      <c r="B8" s="32" t="s">
        <v>28</v>
      </c>
      <c r="C8" s="118">
        <v>768966.70000000007</v>
      </c>
    </row>
    <row r="9" spans="1:5">
      <c r="A9" s="117">
        <v>6</v>
      </c>
      <c r="B9" s="32" t="s">
        <v>29</v>
      </c>
      <c r="C9" s="118">
        <v>2230003.4299999997</v>
      </c>
    </row>
    <row r="10" spans="1:5">
      <c r="A10" s="117">
        <v>7</v>
      </c>
      <c r="B10" s="32" t="s">
        <v>30</v>
      </c>
      <c r="C10" s="118">
        <v>4229316.8500000006</v>
      </c>
    </row>
    <row r="11" spans="1:5">
      <c r="A11" s="117">
        <v>8</v>
      </c>
      <c r="B11" s="32" t="s">
        <v>261</v>
      </c>
      <c r="C11" s="118">
        <v>1384140.0599999987</v>
      </c>
    </row>
    <row r="12" spans="1:5" ht="24">
      <c r="A12" s="119" t="s">
        <v>31</v>
      </c>
      <c r="B12" s="50" t="s">
        <v>32</v>
      </c>
      <c r="C12" s="120">
        <f>SUM(C13:C17)</f>
        <v>9688980.4200000018</v>
      </c>
      <c r="E12" s="4"/>
    </row>
    <row r="13" spans="1:5">
      <c r="A13" s="117">
        <v>9</v>
      </c>
      <c r="B13" s="32" t="s">
        <v>33</v>
      </c>
      <c r="C13" s="118">
        <v>2460693.44</v>
      </c>
    </row>
    <row r="14" spans="1:5">
      <c r="A14" s="117">
        <v>10</v>
      </c>
      <c r="B14" s="32" t="s">
        <v>34</v>
      </c>
      <c r="C14" s="118">
        <v>2614486.7800000003</v>
      </c>
    </row>
    <row r="15" spans="1:5">
      <c r="A15" s="117">
        <v>11</v>
      </c>
      <c r="B15" s="32" t="s">
        <v>35</v>
      </c>
      <c r="C15" s="118">
        <v>307586.68</v>
      </c>
    </row>
    <row r="16" spans="1:5">
      <c r="A16" s="117">
        <v>12</v>
      </c>
      <c r="B16" s="32" t="s">
        <v>36</v>
      </c>
      <c r="C16" s="118">
        <v>1461036.73</v>
      </c>
    </row>
    <row r="17" spans="1:5">
      <c r="A17" s="117">
        <v>13</v>
      </c>
      <c r="B17" s="32" t="s">
        <v>37</v>
      </c>
      <c r="C17" s="118">
        <v>2845176.79</v>
      </c>
    </row>
    <row r="18" spans="1:5">
      <c r="A18" s="119" t="s">
        <v>6</v>
      </c>
      <c r="B18" s="50" t="s">
        <v>38</v>
      </c>
      <c r="C18" s="120">
        <f>C19</f>
        <v>768966.70000000007</v>
      </c>
    </row>
    <row r="19" spans="1:5">
      <c r="A19" s="117">
        <v>14</v>
      </c>
      <c r="B19" s="32" t="s">
        <v>39</v>
      </c>
      <c r="C19" s="118">
        <v>768966.70000000007</v>
      </c>
    </row>
    <row r="20" spans="1:5" ht="15.75" thickBot="1">
      <c r="A20" s="121"/>
      <c r="B20" s="122" t="s">
        <v>262</v>
      </c>
      <c r="C20" s="123">
        <f>C2+C18</f>
        <v>34142121.479999997</v>
      </c>
      <c r="E20" s="4"/>
    </row>
    <row r="21" spans="1:5">
      <c r="A21" s="9"/>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C8149A-6F29-4A5D-B8D1-14D023BD2332}">
  <dimension ref="A1:D26"/>
  <sheetViews>
    <sheetView showGridLines="0" tabSelected="1" workbookViewId="0">
      <selection activeCell="F3" sqref="F3"/>
    </sheetView>
  </sheetViews>
  <sheetFormatPr defaultRowHeight="15"/>
  <cols>
    <col min="1" max="1" width="4.28515625" bestFit="1" customWidth="1"/>
    <col min="2" max="2" width="85" customWidth="1"/>
    <col min="3" max="3" width="15.85546875" customWidth="1"/>
    <col min="4" max="4" width="20.85546875" customWidth="1"/>
  </cols>
  <sheetData>
    <row r="1" spans="1:4">
      <c r="A1" s="131"/>
      <c r="B1" s="132" t="s">
        <v>20</v>
      </c>
      <c r="C1" s="133"/>
      <c r="D1" s="134" t="s">
        <v>17</v>
      </c>
    </row>
    <row r="2" spans="1:4">
      <c r="A2" s="135" t="s">
        <v>8</v>
      </c>
      <c r="B2" s="93" t="s">
        <v>40</v>
      </c>
      <c r="C2" s="92" t="s">
        <v>194</v>
      </c>
      <c r="D2" s="136">
        <f>+D3+D6+D8+D11</f>
        <v>181942588.3407</v>
      </c>
    </row>
    <row r="3" spans="1:4">
      <c r="A3" s="137" t="s">
        <v>18</v>
      </c>
      <c r="B3" s="127" t="s">
        <v>195</v>
      </c>
      <c r="C3" s="128"/>
      <c r="D3" s="138">
        <f>D4+D5</f>
        <v>166257000</v>
      </c>
    </row>
    <row r="4" spans="1:4">
      <c r="A4" s="117">
        <v>1</v>
      </c>
      <c r="B4" s="33" t="s">
        <v>195</v>
      </c>
      <c r="C4" s="129" t="s">
        <v>45</v>
      </c>
      <c r="D4" s="118">
        <f>(1950*84000)</f>
        <v>163800000</v>
      </c>
    </row>
    <row r="5" spans="1:4">
      <c r="A5" s="117">
        <v>2</v>
      </c>
      <c r="B5" s="33" t="s">
        <v>208</v>
      </c>
      <c r="C5" s="129"/>
      <c r="D5" s="118">
        <v>2457000</v>
      </c>
    </row>
    <row r="6" spans="1:4">
      <c r="A6" s="137" t="s">
        <v>19</v>
      </c>
      <c r="B6" s="127" t="s">
        <v>143</v>
      </c>
      <c r="C6" s="128"/>
      <c r="D6" s="138">
        <f>D7</f>
        <v>1965600</v>
      </c>
    </row>
    <row r="7" spans="1:4">
      <c r="A7" s="117">
        <v>3</v>
      </c>
      <c r="B7" s="33" t="s">
        <v>211</v>
      </c>
      <c r="C7" s="129" t="s">
        <v>45</v>
      </c>
      <c r="D7" s="118">
        <f>D4*0.012</f>
        <v>1965600</v>
      </c>
    </row>
    <row r="8" spans="1:4">
      <c r="A8" s="137" t="s">
        <v>53</v>
      </c>
      <c r="B8" s="127" t="s">
        <v>184</v>
      </c>
      <c r="C8" s="128"/>
      <c r="D8" s="138">
        <f>D9+D10</f>
        <v>8775000</v>
      </c>
    </row>
    <row r="9" spans="1:4">
      <c r="A9" s="139">
        <v>4</v>
      </c>
      <c r="B9" s="33" t="s">
        <v>210</v>
      </c>
      <c r="C9" s="130"/>
      <c r="D9" s="140">
        <f>D10*0.35</f>
        <v>2275000</v>
      </c>
    </row>
    <row r="10" spans="1:4">
      <c r="A10" s="117">
        <v>5</v>
      </c>
      <c r="B10" s="33" t="s">
        <v>207</v>
      </c>
      <c r="C10" s="130"/>
      <c r="D10" s="118">
        <v>6500000</v>
      </c>
    </row>
    <row r="11" spans="1:4">
      <c r="A11" s="137" t="s">
        <v>196</v>
      </c>
      <c r="B11" s="127" t="s">
        <v>185</v>
      </c>
      <c r="C11" s="128"/>
      <c r="D11" s="138">
        <f>SUM(D12:D14)</f>
        <v>4944988.3407000005</v>
      </c>
    </row>
    <row r="12" spans="1:4">
      <c r="A12" s="117">
        <v>6</v>
      </c>
      <c r="B12" s="145" t="s">
        <v>224</v>
      </c>
      <c r="C12" s="146">
        <v>2.5000000000000001E-2</v>
      </c>
      <c r="D12" s="118">
        <f>Capex!C20*'Opex '!C12</f>
        <v>853553.03700000001</v>
      </c>
    </row>
    <row r="13" spans="1:4">
      <c r="A13" s="117">
        <v>7</v>
      </c>
      <c r="B13" s="145" t="s">
        <v>265</v>
      </c>
      <c r="C13" s="146">
        <v>0.45</v>
      </c>
      <c r="D13" s="118">
        <f>(D7+D10)*C13</f>
        <v>3809520</v>
      </c>
    </row>
    <row r="14" spans="1:4">
      <c r="A14" s="117">
        <v>8</v>
      </c>
      <c r="B14" s="145" t="s">
        <v>266</v>
      </c>
      <c r="C14" s="146">
        <v>0.1</v>
      </c>
      <c r="D14" s="118">
        <f>C14*(D7+D12)</f>
        <v>281915.30369999999</v>
      </c>
    </row>
    <row r="15" spans="1:4">
      <c r="A15" s="137" t="s">
        <v>9</v>
      </c>
      <c r="B15" s="147" t="s">
        <v>186</v>
      </c>
      <c r="C15" s="148" t="s">
        <v>56</v>
      </c>
      <c r="D15" s="138">
        <f>SUM(D16:D17)</f>
        <v>21833110.600884002</v>
      </c>
    </row>
    <row r="16" spans="1:4">
      <c r="A16" s="117">
        <v>9</v>
      </c>
      <c r="B16" s="145" t="s">
        <v>212</v>
      </c>
      <c r="C16" s="146">
        <v>0.1</v>
      </c>
      <c r="D16" s="118">
        <f>D2*0.1</f>
        <v>18194258.834070001</v>
      </c>
    </row>
    <row r="17" spans="1:4">
      <c r="A17" s="117">
        <v>10</v>
      </c>
      <c r="B17" s="145" t="s">
        <v>209</v>
      </c>
      <c r="C17" s="146">
        <v>0.02</v>
      </c>
      <c r="D17" s="118">
        <f>D2*C17</f>
        <v>3638851.766814</v>
      </c>
    </row>
    <row r="18" spans="1:4" ht="15.75" thickBot="1">
      <c r="A18" s="141"/>
      <c r="B18" s="142" t="s">
        <v>197</v>
      </c>
      <c r="C18" s="143" t="s">
        <v>60</v>
      </c>
      <c r="D18" s="144">
        <f>D15+D2</f>
        <v>203775698.94158399</v>
      </c>
    </row>
    <row r="20" spans="1:4">
      <c r="B20" s="223" t="s">
        <v>267</v>
      </c>
    </row>
    <row r="21" spans="1:4">
      <c r="B21" s="224" t="s">
        <v>268</v>
      </c>
    </row>
    <row r="22" spans="1:4">
      <c r="B22" s="224" t="s">
        <v>269</v>
      </c>
    </row>
    <row r="23" spans="1:4" ht="25.5">
      <c r="B23" s="224" t="s">
        <v>270</v>
      </c>
    </row>
    <row r="24" spans="1:4" ht="38.25">
      <c r="B24" s="224" t="s">
        <v>271</v>
      </c>
    </row>
    <row r="25" spans="1:4">
      <c r="B25" s="224" t="s">
        <v>272</v>
      </c>
    </row>
    <row r="26" spans="1:4" ht="38.25">
      <c r="B26" s="224" t="s">
        <v>273</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3EAE11-1321-45BD-9058-32E40861681D}">
  <dimension ref="A1:I24"/>
  <sheetViews>
    <sheetView zoomScale="74" zoomScaleNormal="74" workbookViewId="0">
      <selection activeCell="D11" sqref="D11"/>
    </sheetView>
  </sheetViews>
  <sheetFormatPr defaultRowHeight="15"/>
  <cols>
    <col min="1" max="1" width="11.42578125" customWidth="1"/>
    <col min="2" max="2" width="29.140625" customWidth="1"/>
    <col min="3" max="3" width="16" customWidth="1"/>
    <col min="4" max="4" width="24.42578125" customWidth="1"/>
    <col min="5" max="5" width="12" bestFit="1" customWidth="1"/>
    <col min="6" max="6" width="15" bestFit="1" customWidth="1"/>
    <col min="8" max="8" width="11.140625" bestFit="1" customWidth="1"/>
    <col min="9" max="9" width="13.28515625" bestFit="1" customWidth="1"/>
    <col min="11" max="11" width="12.85546875" bestFit="1" customWidth="1"/>
    <col min="16" max="16" width="12.85546875" bestFit="1" customWidth="1"/>
  </cols>
  <sheetData>
    <row r="1" spans="1:9" ht="15.75" thickBot="1">
      <c r="A1" s="3"/>
      <c r="B1" s="5" t="s">
        <v>20</v>
      </c>
      <c r="C1" s="3"/>
      <c r="D1" s="10" t="s">
        <v>17</v>
      </c>
      <c r="E1" t="s">
        <v>151</v>
      </c>
      <c r="F1" t="s">
        <v>145</v>
      </c>
    </row>
    <row r="2" spans="1:9">
      <c r="A2" s="6" t="s">
        <v>8</v>
      </c>
      <c r="B2" s="7" t="s">
        <v>40</v>
      </c>
      <c r="C2" s="6" t="s">
        <v>41</v>
      </c>
      <c r="D2" s="11">
        <f>D3+D13+D15</f>
        <v>194576111.54178476</v>
      </c>
    </row>
    <row r="3" spans="1:9">
      <c r="A3" s="37" t="s">
        <v>18</v>
      </c>
      <c r="B3" s="38" t="s">
        <v>42</v>
      </c>
      <c r="C3" s="37" t="s">
        <v>43</v>
      </c>
      <c r="D3" s="39">
        <f>SUM(D4:D12)</f>
        <v>192969437.11218476</v>
      </c>
    </row>
    <row r="4" spans="1:9">
      <c r="A4" s="32">
        <v>1</v>
      </c>
      <c r="B4" s="33" t="s">
        <v>44</v>
      </c>
      <c r="C4" s="32" t="s">
        <v>45</v>
      </c>
      <c r="D4" s="40">
        <f>(1950*84000)</f>
        <v>163800000</v>
      </c>
      <c r="E4" t="s">
        <v>144</v>
      </c>
      <c r="F4">
        <f>D4*73.3</f>
        <v>12006540000</v>
      </c>
    </row>
    <row r="5" spans="1:9">
      <c r="A5" s="32">
        <v>2</v>
      </c>
      <c r="B5" s="33" t="s">
        <v>46</v>
      </c>
      <c r="C5" s="32" t="s">
        <v>45</v>
      </c>
      <c r="D5" s="40">
        <f>D4*0.012</f>
        <v>1965600</v>
      </c>
      <c r="E5" t="s">
        <v>143</v>
      </c>
      <c r="F5">
        <f>D5*73.3</f>
        <v>144078480</v>
      </c>
    </row>
    <row r="6" spans="1:9" ht="24">
      <c r="A6" s="32">
        <v>3</v>
      </c>
      <c r="B6" s="33" t="s">
        <v>47</v>
      </c>
      <c r="C6" s="41">
        <v>0.17499999999999999</v>
      </c>
      <c r="D6" s="40">
        <f>D5*C6</f>
        <v>343980</v>
      </c>
      <c r="E6" t="s">
        <v>143</v>
      </c>
      <c r="F6">
        <f t="shared" ref="F6:F20" si="0">D6*73.3</f>
        <v>25213734</v>
      </c>
    </row>
    <row r="7" spans="1:9">
      <c r="A7" s="32">
        <v>4</v>
      </c>
      <c r="B7" s="33" t="s">
        <v>48</v>
      </c>
      <c r="C7" s="32" t="s">
        <v>45</v>
      </c>
      <c r="D7" s="40">
        <v>6027830.8321964536</v>
      </c>
      <c r="E7" t="s">
        <v>134</v>
      </c>
      <c r="F7">
        <f t="shared" si="0"/>
        <v>441840000.00000006</v>
      </c>
    </row>
    <row r="8" spans="1:9" ht="24">
      <c r="A8" s="32">
        <v>5</v>
      </c>
      <c r="B8" s="33" t="s">
        <v>132</v>
      </c>
      <c r="C8" s="41">
        <v>0.05</v>
      </c>
      <c r="D8" s="40">
        <f>Capex!C20*Opex!C8</f>
        <v>1707106.074</v>
      </c>
      <c r="E8" t="s">
        <v>135</v>
      </c>
      <c r="F8">
        <f t="shared" si="0"/>
        <v>125130875.2242</v>
      </c>
      <c r="G8">
        <f>Capex!C20*5%</f>
        <v>1707106.074</v>
      </c>
    </row>
    <row r="9" spans="1:9" ht="24">
      <c r="A9" s="32">
        <v>6</v>
      </c>
      <c r="B9" s="33" t="s">
        <v>49</v>
      </c>
      <c r="C9" s="41">
        <v>0.15</v>
      </c>
      <c r="D9" s="40">
        <f>D8*C9</f>
        <v>256065.9111</v>
      </c>
      <c r="E9" t="s">
        <v>135</v>
      </c>
      <c r="F9">
        <f t="shared" si="0"/>
        <v>18769631.283629999</v>
      </c>
    </row>
    <row r="10" spans="1:9" ht="24">
      <c r="A10" s="32">
        <v>7</v>
      </c>
      <c r="B10" s="33" t="s">
        <v>50</v>
      </c>
      <c r="C10" s="41">
        <v>0.15</v>
      </c>
      <c r="D10" s="40">
        <f>C10*D5</f>
        <v>294840</v>
      </c>
      <c r="E10" t="s">
        <v>135</v>
      </c>
      <c r="F10">
        <f t="shared" si="0"/>
        <v>21611772</v>
      </c>
    </row>
    <row r="11" spans="1:9" ht="24">
      <c r="A11" s="32">
        <v>8</v>
      </c>
      <c r="B11" s="33" t="s">
        <v>149</v>
      </c>
      <c r="C11" s="41">
        <v>0.05</v>
      </c>
      <c r="D11" s="40">
        <v>11598197.382196454</v>
      </c>
      <c r="E11" t="s">
        <v>134</v>
      </c>
      <c r="F11">
        <f>D11*73.3</f>
        <v>850147868.11500013</v>
      </c>
    </row>
    <row r="12" spans="1:9" ht="24">
      <c r="A12" s="32">
        <v>9</v>
      </c>
      <c r="B12" s="33" t="s">
        <v>51</v>
      </c>
      <c r="C12" s="41">
        <v>0.04</v>
      </c>
      <c r="D12" s="40">
        <f>C12*(D4+D5+D6+D7+D8+D9+D10)</f>
        <v>6975816.9126918577</v>
      </c>
      <c r="E12" t="s">
        <v>135</v>
      </c>
      <c r="F12">
        <f t="shared" si="0"/>
        <v>511327379.70031315</v>
      </c>
    </row>
    <row r="13" spans="1:9" ht="24">
      <c r="A13" s="37" t="s">
        <v>19</v>
      </c>
      <c r="B13" s="38" t="s">
        <v>52</v>
      </c>
      <c r="C13" s="37">
        <v>9</v>
      </c>
      <c r="D13" s="39">
        <f>SUM(D14:D14)</f>
        <v>0</v>
      </c>
      <c r="F13">
        <f t="shared" si="0"/>
        <v>0</v>
      </c>
    </row>
    <row r="14" spans="1:9">
      <c r="A14" s="32">
        <v>10</v>
      </c>
      <c r="B14" s="33"/>
      <c r="C14" s="41"/>
      <c r="D14" s="40"/>
      <c r="E14" t="s">
        <v>15</v>
      </c>
      <c r="F14">
        <f>D14*73.3</f>
        <v>0</v>
      </c>
    </row>
    <row r="15" spans="1:9" ht="26.25">
      <c r="A15" s="37" t="s">
        <v>53</v>
      </c>
      <c r="B15" s="38" t="s">
        <v>54</v>
      </c>
      <c r="C15" s="42">
        <v>0.4</v>
      </c>
      <c r="D15" s="39">
        <f>C15*(D5+D6+D8)</f>
        <v>1606674.4296000001</v>
      </c>
      <c r="E15" t="s">
        <v>135</v>
      </c>
      <c r="F15">
        <f t="shared" si="0"/>
        <v>117769235.68968001</v>
      </c>
      <c r="I15" s="4"/>
    </row>
    <row r="16" spans="1:9">
      <c r="A16" s="43" t="s">
        <v>9</v>
      </c>
      <c r="B16" s="44" t="s">
        <v>55</v>
      </c>
      <c r="C16" s="43" t="s">
        <v>56</v>
      </c>
      <c r="D16" s="45">
        <f>SUM(D17:D19)</f>
        <v>35626202.988621257</v>
      </c>
      <c r="F16">
        <f t="shared" si="0"/>
        <v>2611400679.065938</v>
      </c>
    </row>
    <row r="17" spans="1:8" ht="28.5">
      <c r="A17" s="32">
        <v>11</v>
      </c>
      <c r="B17" s="33" t="s">
        <v>57</v>
      </c>
      <c r="C17" s="41">
        <v>0.15</v>
      </c>
      <c r="D17" s="40">
        <f>C17*(D5+D6+D8)</f>
        <v>602502.91110000003</v>
      </c>
      <c r="E17" t="s">
        <v>135</v>
      </c>
      <c r="F17">
        <f t="shared" si="0"/>
        <v>44163463.38363</v>
      </c>
    </row>
    <row r="18" spans="1:8" ht="24">
      <c r="A18" s="32">
        <v>12</v>
      </c>
      <c r="B18" s="33" t="s">
        <v>58</v>
      </c>
      <c r="C18" s="41">
        <v>0.11</v>
      </c>
      <c r="D18" s="40">
        <f>C18*D2</f>
        <v>21403372.269596323</v>
      </c>
      <c r="E18" t="s">
        <v>134</v>
      </c>
      <c r="F18">
        <f t="shared" si="0"/>
        <v>1568867187.3614104</v>
      </c>
    </row>
    <row r="19" spans="1:8" ht="24">
      <c r="A19" s="32">
        <v>13</v>
      </c>
      <c r="B19" s="33" t="s">
        <v>130</v>
      </c>
      <c r="C19" s="41">
        <v>7.0000000000000007E-2</v>
      </c>
      <c r="D19" s="40">
        <f>C19*D2</f>
        <v>13620327.807924936</v>
      </c>
      <c r="E19" t="s">
        <v>135</v>
      </c>
      <c r="F19">
        <f t="shared" si="0"/>
        <v>998370028.3208977</v>
      </c>
    </row>
    <row r="20" spans="1:8">
      <c r="A20" s="46"/>
      <c r="B20" s="31" t="s">
        <v>59</v>
      </c>
      <c r="C20" s="30" t="s">
        <v>60</v>
      </c>
      <c r="D20" s="47">
        <f>D2+D16</f>
        <v>230202314.53040603</v>
      </c>
      <c r="F20">
        <f t="shared" si="0"/>
        <v>16873829655.078762</v>
      </c>
      <c r="G20">
        <f>D20/84000000</f>
        <v>2.7405037444095957</v>
      </c>
      <c r="H20">
        <f>G20*73.3</f>
        <v>200.87892446522335</v>
      </c>
    </row>
    <row r="22" spans="1:8">
      <c r="A22" s="8"/>
      <c r="D22">
        <v>235829630.22656068</v>
      </c>
      <c r="G22">
        <f>D22*73.3/84000000</f>
        <v>205.78942732865352</v>
      </c>
      <c r="H22">
        <f>G22/73.3</f>
        <v>2.8074955979352461</v>
      </c>
    </row>
    <row r="23" spans="1:8">
      <c r="F23">
        <f>5436818</f>
        <v>5436818</v>
      </c>
    </row>
    <row r="24" spans="1:8">
      <c r="D24">
        <f>(D20*73.3)/10000000</f>
        <v>1687.3829655078762</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214366-2D56-47EC-9632-707ACD64BD86}">
  <dimension ref="A1:H20"/>
  <sheetViews>
    <sheetView showGridLines="0" workbookViewId="0">
      <selection activeCell="E24" sqref="E24"/>
    </sheetView>
  </sheetViews>
  <sheetFormatPr defaultRowHeight="15"/>
  <cols>
    <col min="1" max="1" width="7.5703125" style="94" customWidth="1"/>
    <col min="2" max="2" width="70" customWidth="1"/>
    <col min="3" max="3" width="12" style="94" customWidth="1"/>
    <col min="4" max="4" width="11.85546875" style="94" customWidth="1"/>
    <col min="5" max="5" width="10.85546875" style="94" customWidth="1"/>
    <col min="7" max="7" width="10.7109375" style="94" customWidth="1"/>
    <col min="8" max="8" width="14.5703125" customWidth="1"/>
  </cols>
  <sheetData>
    <row r="1" spans="1:8" ht="35.25" customHeight="1">
      <c r="A1" s="210" t="s">
        <v>127</v>
      </c>
      <c r="B1" s="210"/>
      <c r="C1" s="211" t="s">
        <v>220</v>
      </c>
      <c r="D1" s="210"/>
      <c r="E1" s="210"/>
      <c r="F1" s="211" t="s">
        <v>221</v>
      </c>
      <c r="G1" s="210"/>
      <c r="H1" s="210"/>
    </row>
    <row r="2" spans="1:8">
      <c r="A2" s="212"/>
      <c r="B2" s="212"/>
      <c r="C2" s="81" t="s">
        <v>128</v>
      </c>
      <c r="D2" s="81" t="s">
        <v>1</v>
      </c>
      <c r="E2" s="81" t="s">
        <v>2</v>
      </c>
      <c r="F2" s="81" t="s">
        <v>128</v>
      </c>
      <c r="G2" s="81" t="s">
        <v>1</v>
      </c>
      <c r="H2" s="81" t="s">
        <v>2</v>
      </c>
    </row>
    <row r="3" spans="1:8">
      <c r="A3" s="212"/>
      <c r="B3" s="212"/>
      <c r="C3" s="81" t="s">
        <v>0</v>
      </c>
      <c r="D3" s="81" t="s">
        <v>11</v>
      </c>
      <c r="E3" s="81" t="s">
        <v>12</v>
      </c>
      <c r="F3" s="81" t="s">
        <v>0</v>
      </c>
      <c r="G3" s="81" t="s">
        <v>11</v>
      </c>
      <c r="H3" s="81" t="s">
        <v>12</v>
      </c>
    </row>
    <row r="4" spans="1:8">
      <c r="A4" s="81" t="s">
        <v>3</v>
      </c>
      <c r="B4" s="64" t="s">
        <v>4</v>
      </c>
      <c r="C4" s="95"/>
      <c r="D4" s="95"/>
      <c r="E4" s="95"/>
      <c r="F4" s="95"/>
      <c r="G4" s="95"/>
      <c r="H4" s="2"/>
    </row>
    <row r="5" spans="1:8">
      <c r="A5" s="95">
        <v>1</v>
      </c>
      <c r="B5" s="2" t="s">
        <v>129</v>
      </c>
      <c r="C5" s="95"/>
      <c r="D5" s="95"/>
      <c r="E5" s="95"/>
      <c r="F5" s="95"/>
      <c r="G5" s="95"/>
      <c r="H5" s="95"/>
    </row>
    <row r="6" spans="1:8">
      <c r="A6" s="95"/>
      <c r="B6" s="2" t="s">
        <v>213</v>
      </c>
      <c r="C6" s="149">
        <v>0.7</v>
      </c>
      <c r="D6" s="149">
        <v>1350</v>
      </c>
      <c r="E6" s="149">
        <f>C6*D6</f>
        <v>944.99999999999989</v>
      </c>
      <c r="F6" s="149">
        <v>0.7</v>
      </c>
      <c r="G6" s="149">
        <v>1350</v>
      </c>
      <c r="H6" s="149">
        <f>F6*G6</f>
        <v>944.99999999999989</v>
      </c>
    </row>
    <row r="7" spans="1:8">
      <c r="A7" s="95"/>
      <c r="B7" s="2" t="s">
        <v>214</v>
      </c>
      <c r="C7" s="149">
        <v>0.56000000000000005</v>
      </c>
      <c r="D7" s="149">
        <v>1470</v>
      </c>
      <c r="E7" s="149">
        <f t="shared" ref="E7:E8" si="0">C7*D7</f>
        <v>823.2</v>
      </c>
      <c r="F7" s="149">
        <v>0.56999999999999995</v>
      </c>
      <c r="G7" s="149">
        <v>1470</v>
      </c>
      <c r="H7" s="149">
        <f t="shared" ref="H7:H8" si="1">F7*G7</f>
        <v>837.9</v>
      </c>
    </row>
    <row r="8" spans="1:8">
      <c r="A8" s="95"/>
      <c r="B8" s="2" t="s">
        <v>10</v>
      </c>
      <c r="C8" s="149">
        <v>0.5</v>
      </c>
      <c r="D8" s="149">
        <v>150</v>
      </c>
      <c r="E8" s="149">
        <f t="shared" si="0"/>
        <v>75</v>
      </c>
      <c r="F8" s="149">
        <v>0.5</v>
      </c>
      <c r="G8" s="149">
        <v>150</v>
      </c>
      <c r="H8" s="149">
        <f t="shared" si="1"/>
        <v>75</v>
      </c>
    </row>
    <row r="9" spans="1:8">
      <c r="A9" s="95"/>
      <c r="B9" s="2" t="s">
        <v>223</v>
      </c>
      <c r="C9" s="149"/>
      <c r="D9" s="149"/>
      <c r="E9" s="149">
        <f>SUM(E6:E8)</f>
        <v>1843.1999999999998</v>
      </c>
      <c r="F9" s="149"/>
      <c r="G9" s="149"/>
      <c r="H9" s="149">
        <f>SUM(H6:H8)</f>
        <v>1857.8999999999999</v>
      </c>
    </row>
    <row r="10" spans="1:8">
      <c r="A10" s="95">
        <v>2</v>
      </c>
      <c r="B10" s="2" t="s">
        <v>215</v>
      </c>
      <c r="C10" s="149"/>
      <c r="D10" s="149"/>
      <c r="E10" s="149">
        <v>340.52</v>
      </c>
      <c r="F10" s="149"/>
      <c r="G10" s="149"/>
      <c r="H10" s="149">
        <v>390.21</v>
      </c>
    </row>
    <row r="11" spans="1:8">
      <c r="A11" s="95"/>
      <c r="B11" s="2"/>
      <c r="C11" s="149"/>
      <c r="D11" s="149"/>
      <c r="E11" s="149"/>
      <c r="F11" s="149"/>
      <c r="G11" s="149"/>
      <c r="H11" s="149"/>
    </row>
    <row r="12" spans="1:8">
      <c r="A12" s="81"/>
      <c r="B12" s="64" t="s">
        <v>5</v>
      </c>
      <c r="C12" s="150"/>
      <c r="D12" s="150"/>
      <c r="E12" s="150">
        <f>E9+E10</f>
        <v>2183.7199999999998</v>
      </c>
      <c r="F12" s="150"/>
      <c r="G12" s="150"/>
      <c r="H12" s="150">
        <f>H9+H10</f>
        <v>2248.1099999999997</v>
      </c>
    </row>
    <row r="13" spans="1:8">
      <c r="A13" s="95"/>
      <c r="B13" s="2"/>
      <c r="C13" s="149"/>
      <c r="D13" s="149"/>
      <c r="E13" s="149"/>
      <c r="F13" s="149"/>
      <c r="G13" s="149"/>
      <c r="H13" s="149"/>
    </row>
    <row r="14" spans="1:8">
      <c r="A14" s="81" t="s">
        <v>6</v>
      </c>
      <c r="B14" s="64" t="s">
        <v>7</v>
      </c>
      <c r="C14" s="149"/>
      <c r="D14" s="149"/>
      <c r="E14" s="149"/>
      <c r="F14" s="149"/>
      <c r="G14" s="149"/>
      <c r="H14" s="149"/>
    </row>
    <row r="15" spans="1:8">
      <c r="A15" s="95">
        <v>1</v>
      </c>
      <c r="B15" s="2" t="s">
        <v>216</v>
      </c>
      <c r="C15" s="149"/>
      <c r="D15" s="149"/>
      <c r="E15" s="149">
        <v>10.199999999999999</v>
      </c>
      <c r="F15" s="149"/>
      <c r="G15" s="149"/>
      <c r="H15" s="149">
        <v>10.8</v>
      </c>
    </row>
    <row r="16" spans="1:8">
      <c r="A16" s="95">
        <v>2</v>
      </c>
      <c r="B16" s="2" t="s">
        <v>217</v>
      </c>
      <c r="C16" s="149"/>
      <c r="D16" s="149"/>
      <c r="E16" s="149">
        <v>45.35</v>
      </c>
      <c r="F16" s="149"/>
      <c r="G16" s="149"/>
      <c r="H16" s="149">
        <v>47.8</v>
      </c>
    </row>
    <row r="17" spans="1:8">
      <c r="A17" s="95">
        <v>3</v>
      </c>
      <c r="B17" s="2" t="s">
        <v>218</v>
      </c>
      <c r="C17" s="149"/>
      <c r="D17" s="149"/>
      <c r="E17" s="149">
        <v>3.7</v>
      </c>
      <c r="F17" s="149"/>
      <c r="G17" s="149"/>
      <c r="H17" s="149">
        <v>4.1500000000000004</v>
      </c>
    </row>
    <row r="18" spans="1:8">
      <c r="A18" s="95"/>
      <c r="B18" s="64" t="s">
        <v>219</v>
      </c>
      <c r="C18" s="150"/>
      <c r="D18" s="150"/>
      <c r="E18" s="150">
        <f>SUM(E15:E17)</f>
        <v>59.25</v>
      </c>
      <c r="F18" s="150"/>
      <c r="G18" s="150"/>
      <c r="H18" s="150">
        <f>SUM(H15:H17)</f>
        <v>62.749999999999993</v>
      </c>
    </row>
    <row r="19" spans="1:8">
      <c r="A19" s="95"/>
      <c r="B19" s="2"/>
      <c r="C19" s="149"/>
      <c r="D19" s="149"/>
      <c r="E19" s="149"/>
      <c r="F19" s="149"/>
      <c r="G19" s="149"/>
      <c r="H19" s="149"/>
    </row>
    <row r="20" spans="1:8">
      <c r="A20" s="81" t="s">
        <v>8</v>
      </c>
      <c r="B20" s="64" t="s">
        <v>222</v>
      </c>
      <c r="C20" s="150"/>
      <c r="D20" s="150"/>
      <c r="E20" s="150">
        <f>E18+E12</f>
        <v>2242.9699999999998</v>
      </c>
      <c r="F20" s="150"/>
      <c r="G20" s="150"/>
      <c r="H20" s="150">
        <f>H18+H12</f>
        <v>2310.8599999999997</v>
      </c>
    </row>
  </sheetData>
  <mergeCells count="4">
    <mergeCell ref="A1:B1"/>
    <mergeCell ref="C1:E1"/>
    <mergeCell ref="F1:H1"/>
    <mergeCell ref="A2:B3"/>
  </mergeCell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0513DD-4EE5-4130-A2BB-A87BFE7437D7}">
  <dimension ref="A2:N79"/>
  <sheetViews>
    <sheetView showGridLines="0" topLeftCell="B13" workbookViewId="0">
      <selection activeCell="E57" sqref="E57"/>
    </sheetView>
  </sheetViews>
  <sheetFormatPr defaultColWidth="8.7109375" defaultRowHeight="15"/>
  <cols>
    <col min="1" max="1" width="8.85546875" style="69" bestFit="1" customWidth="1"/>
    <col min="2" max="2" width="27.42578125" bestFit="1" customWidth="1"/>
    <col min="3" max="3" width="4.85546875" customWidth="1"/>
    <col min="4" max="4" width="12.5703125" bestFit="1" customWidth="1"/>
    <col min="5" max="5" width="13.85546875" bestFit="1" customWidth="1"/>
    <col min="6" max="6" width="12.28515625" bestFit="1" customWidth="1"/>
    <col min="7" max="7" width="18.5703125" bestFit="1" customWidth="1"/>
    <col min="8" max="8" width="12.28515625" bestFit="1" customWidth="1"/>
    <col min="9" max="9" width="13.42578125" bestFit="1" customWidth="1"/>
    <col min="10" max="10" width="14.140625" bestFit="1" customWidth="1"/>
    <col min="11" max="13" width="13.42578125" bestFit="1" customWidth="1"/>
    <col min="14" max="14" width="12.28515625" bestFit="1" customWidth="1"/>
  </cols>
  <sheetData>
    <row r="2" spans="1:14" s="78" customFormat="1">
      <c r="A2" s="70"/>
      <c r="B2" s="70" t="s">
        <v>61</v>
      </c>
      <c r="C2" s="70"/>
      <c r="D2" s="70"/>
      <c r="E2" s="214" t="s">
        <v>63</v>
      </c>
      <c r="F2" s="214"/>
      <c r="G2" s="214"/>
      <c r="H2" s="214"/>
      <c r="I2" s="214"/>
      <c r="J2" s="214"/>
      <c r="K2" s="214"/>
      <c r="L2" s="214"/>
      <c r="M2" s="214"/>
      <c r="N2" s="214"/>
    </row>
    <row r="3" spans="1:14" s="78" customFormat="1">
      <c r="A3" s="70"/>
      <c r="B3" s="70"/>
      <c r="C3" s="70"/>
      <c r="D3" s="70">
        <v>0</v>
      </c>
      <c r="E3" s="70">
        <v>1</v>
      </c>
      <c r="F3" s="70">
        <v>2</v>
      </c>
      <c r="G3" s="70">
        <v>3</v>
      </c>
      <c r="H3" s="70">
        <v>4</v>
      </c>
      <c r="I3" s="70">
        <v>5</v>
      </c>
      <c r="J3" s="70">
        <v>6</v>
      </c>
      <c r="K3" s="71">
        <v>7</v>
      </c>
      <c r="L3" s="70">
        <v>8</v>
      </c>
      <c r="M3" s="71">
        <v>9</v>
      </c>
      <c r="N3" s="70">
        <v>10</v>
      </c>
    </row>
    <row r="4" spans="1:14" s="78" customFormat="1">
      <c r="A4" s="79"/>
      <c r="B4" s="79"/>
      <c r="C4" s="79"/>
      <c r="D4" s="79"/>
      <c r="E4" s="79"/>
      <c r="F4" s="79"/>
      <c r="G4" s="79"/>
      <c r="H4" s="79"/>
      <c r="I4" s="79"/>
      <c r="J4" s="79"/>
      <c r="K4" s="80"/>
      <c r="L4" s="79"/>
      <c r="M4" s="80"/>
      <c r="N4" s="79"/>
    </row>
    <row r="5" spans="1:14">
      <c r="A5" s="152">
        <v>1</v>
      </c>
      <c r="B5" s="152" t="s">
        <v>139</v>
      </c>
      <c r="C5" s="159"/>
      <c r="D5" s="159">
        <f>D6</f>
        <v>-34142121.479999997</v>
      </c>
      <c r="E5" s="160"/>
      <c r="F5" s="159">
        <f>D5+D5*0.1</f>
        <v>-37556333.627999999</v>
      </c>
      <c r="G5" s="159"/>
      <c r="H5" s="159"/>
      <c r="I5" s="159">
        <f>42*0.95</f>
        <v>39.9</v>
      </c>
      <c r="J5" s="159">
        <f>42*0.8</f>
        <v>33.6</v>
      </c>
      <c r="K5" s="82">
        <f>74/84</f>
        <v>0.88095238095238093</v>
      </c>
      <c r="L5" s="159"/>
      <c r="M5" s="159"/>
      <c r="N5" s="159"/>
    </row>
    <row r="6" spans="1:14" s="151" customFormat="1">
      <c r="A6" s="153"/>
      <c r="B6" s="153" t="s">
        <v>140</v>
      </c>
      <c r="C6" s="161"/>
      <c r="D6" s="161">
        <f>-Capex!C20</f>
        <v>-34142121.479999997</v>
      </c>
      <c r="E6" s="162"/>
      <c r="F6" s="162"/>
      <c r="G6" s="162"/>
      <c r="H6" s="162"/>
      <c r="I6" s="162"/>
      <c r="J6" s="162"/>
      <c r="K6" s="162"/>
      <c r="L6" s="162"/>
      <c r="M6" s="162"/>
      <c r="N6" s="162"/>
    </row>
    <row r="7" spans="1:14" s="151" customFormat="1">
      <c r="A7" s="153"/>
      <c r="B7" s="153"/>
      <c r="C7" s="161"/>
      <c r="D7" s="161"/>
      <c r="E7" s="162"/>
      <c r="F7" s="162"/>
      <c r="G7" s="162"/>
      <c r="H7" s="162"/>
      <c r="I7" s="162"/>
      <c r="J7" s="162"/>
      <c r="K7" s="162"/>
      <c r="L7" s="162"/>
      <c r="M7" s="162"/>
      <c r="N7" s="162"/>
    </row>
    <row r="8" spans="1:14">
      <c r="A8" s="152"/>
      <c r="B8" s="152"/>
      <c r="C8" s="159"/>
      <c r="D8" s="159"/>
      <c r="E8" s="82">
        <v>0.6</v>
      </c>
      <c r="F8" s="82">
        <v>0.8</v>
      </c>
      <c r="G8" s="82">
        <v>0.9</v>
      </c>
      <c r="H8" s="82">
        <v>0.95</v>
      </c>
      <c r="I8" s="82">
        <v>0.77</v>
      </c>
      <c r="J8" s="82">
        <v>0.88</v>
      </c>
      <c r="K8" s="82">
        <v>0.95</v>
      </c>
      <c r="L8" s="82">
        <v>0.95</v>
      </c>
      <c r="M8" s="82">
        <v>0.95</v>
      </c>
      <c r="N8" s="82">
        <v>0.95</v>
      </c>
    </row>
    <row r="9" spans="1:14" s="78" customFormat="1">
      <c r="A9" s="154">
        <v>2</v>
      </c>
      <c r="B9" s="154" t="s">
        <v>65</v>
      </c>
      <c r="C9" s="163"/>
      <c r="D9" s="163"/>
      <c r="E9" s="163">
        <f>+E10*E11+E12*E13+E14*E15</f>
        <v>73324666.800000012</v>
      </c>
      <c r="F9" s="163">
        <f t="shared" ref="F9:N9" si="0">+F10*F11+F12*F13+F14*F15</f>
        <v>99232715.736000001</v>
      </c>
      <c r="G9" s="163">
        <f t="shared" si="0"/>
        <v>113311357.28104499</v>
      </c>
      <c r="H9" s="163">
        <f t="shared" si="0"/>
        <v>121400529.17583068</v>
      </c>
      <c r="I9" s="163">
        <f t="shared" si="0"/>
        <v>199748597.0049904</v>
      </c>
      <c r="J9" s="163">
        <f t="shared" si="0"/>
        <v>231708372.5257889</v>
      </c>
      <c r="K9" s="163">
        <f t="shared" si="0"/>
        <v>253891816.14544535</v>
      </c>
      <c r="L9" s="163">
        <f t="shared" si="0"/>
        <v>257700193.38762701</v>
      </c>
      <c r="M9" s="163">
        <f t="shared" si="0"/>
        <v>261565696.28844139</v>
      </c>
      <c r="N9" s="163">
        <f t="shared" si="0"/>
        <v>265489181.732768</v>
      </c>
    </row>
    <row r="10" spans="1:14">
      <c r="A10" s="152"/>
      <c r="B10" s="164" t="s">
        <v>175</v>
      </c>
      <c r="C10" s="159"/>
      <c r="D10" s="159"/>
      <c r="E10" s="159">
        <f>42000000*E8*0.7</f>
        <v>17640000</v>
      </c>
      <c r="F10" s="159">
        <f>42000000*F8*0.7</f>
        <v>23520000</v>
      </c>
      <c r="G10" s="159">
        <f>42000000*G8*0.7</f>
        <v>26460000</v>
      </c>
      <c r="H10" s="159">
        <f>42000000*H8*0.7</f>
        <v>27930000</v>
      </c>
      <c r="I10" s="159">
        <f t="shared" ref="I10:N10" si="1">84000000*I8*0.7</f>
        <v>45276000</v>
      </c>
      <c r="J10" s="159">
        <f t="shared" si="1"/>
        <v>51744000</v>
      </c>
      <c r="K10" s="159">
        <f t="shared" si="1"/>
        <v>55860000</v>
      </c>
      <c r="L10" s="159">
        <f t="shared" si="1"/>
        <v>55860000</v>
      </c>
      <c r="M10" s="159">
        <f t="shared" si="1"/>
        <v>55860000</v>
      </c>
      <c r="N10" s="159">
        <f t="shared" si="1"/>
        <v>55860000</v>
      </c>
    </row>
    <row r="11" spans="1:14">
      <c r="A11" s="152"/>
      <c r="B11" s="164" t="s">
        <v>205</v>
      </c>
      <c r="C11" s="159"/>
      <c r="D11" s="159"/>
      <c r="E11" s="158">
        <v>2.7997200000000002</v>
      </c>
      <c r="F11" s="158">
        <v>2.8417157999999998</v>
      </c>
      <c r="G11" s="158">
        <v>2.8843415369999996</v>
      </c>
      <c r="H11" s="158">
        <v>2.927606660054999</v>
      </c>
      <c r="I11" s="158">
        <v>2.9715207599558235</v>
      </c>
      <c r="J11" s="158">
        <v>3.0160935713551607</v>
      </c>
      <c r="K11" s="158">
        <v>3.0613349749254879</v>
      </c>
      <c r="L11" s="158">
        <v>3.1072549995493701</v>
      </c>
      <c r="M11" s="158">
        <v>3.1538638245426105</v>
      </c>
      <c r="N11" s="158">
        <v>3.201171781910749</v>
      </c>
    </row>
    <row r="12" spans="1:14">
      <c r="A12" s="152"/>
      <c r="B12" s="164" t="s">
        <v>175</v>
      </c>
      <c r="C12" s="159"/>
      <c r="D12" s="159"/>
      <c r="E12" s="159">
        <f>42000000*E8*0.15</f>
        <v>3780000</v>
      </c>
      <c r="F12" s="159">
        <f>42000000*F8*0.15</f>
        <v>5040000</v>
      </c>
      <c r="G12" s="159">
        <f>42000000*G8*0.15</f>
        <v>5670000</v>
      </c>
      <c r="H12" s="159">
        <f>42000000*H8*0.15</f>
        <v>5985000</v>
      </c>
      <c r="I12" s="159">
        <f>84000000*I8*0.15</f>
        <v>9702000</v>
      </c>
      <c r="J12" s="159">
        <f t="shared" ref="J12:N12" si="2">84000000*J8*0.15</f>
        <v>11088000</v>
      </c>
      <c r="K12" s="159">
        <f t="shared" si="2"/>
        <v>11970000</v>
      </c>
      <c r="L12" s="159">
        <f t="shared" si="2"/>
        <v>11970000</v>
      </c>
      <c r="M12" s="159">
        <f t="shared" si="2"/>
        <v>11970000</v>
      </c>
      <c r="N12" s="159">
        <f t="shared" si="2"/>
        <v>11970000</v>
      </c>
    </row>
    <row r="13" spans="1:14">
      <c r="A13" s="152"/>
      <c r="B13" s="164" t="s">
        <v>206</v>
      </c>
      <c r="C13" s="159"/>
      <c r="D13" s="159"/>
      <c r="E13" s="165">
        <v>3.3330000000000002</v>
      </c>
      <c r="F13" s="165">
        <v>3.3829949999999998</v>
      </c>
      <c r="G13" s="165">
        <v>3.4337399249999998</v>
      </c>
      <c r="H13" s="165">
        <v>3.4852460238749989</v>
      </c>
      <c r="I13" s="165">
        <v>3.5375247142331236</v>
      </c>
      <c r="J13" s="165">
        <v>3.5905875849466202</v>
      </c>
      <c r="K13" s="165">
        <v>3.6444463987208193</v>
      </c>
      <c r="L13" s="165">
        <v>3.6991130947016311</v>
      </c>
      <c r="M13" s="165">
        <v>3.7545997911221551</v>
      </c>
      <c r="N13" s="165">
        <v>3.8109187879889874</v>
      </c>
    </row>
    <row r="14" spans="1:14">
      <c r="A14" s="152"/>
      <c r="B14" s="164" t="s">
        <v>175</v>
      </c>
      <c r="C14" s="159"/>
      <c r="D14" s="159"/>
      <c r="E14" s="159">
        <v>3780000</v>
      </c>
      <c r="F14" s="159">
        <v>5040000</v>
      </c>
      <c r="G14" s="159">
        <v>5670000</v>
      </c>
      <c r="H14" s="159">
        <v>5985000</v>
      </c>
      <c r="I14" s="159">
        <v>9702000</v>
      </c>
      <c r="J14" s="159">
        <v>11088000</v>
      </c>
      <c r="K14" s="159">
        <v>11970000</v>
      </c>
      <c r="L14" s="159">
        <v>11970000</v>
      </c>
      <c r="M14" s="159">
        <v>11970000</v>
      </c>
      <c r="N14" s="159">
        <v>11970000</v>
      </c>
    </row>
    <row r="15" spans="1:14">
      <c r="A15" s="152"/>
      <c r="B15" s="164" t="s">
        <v>206</v>
      </c>
      <c r="C15" s="159"/>
      <c r="D15" s="159"/>
      <c r="E15" s="158">
        <v>2.9997000000000003</v>
      </c>
      <c r="F15" s="158">
        <v>3.0446955</v>
      </c>
      <c r="G15" s="158">
        <v>3.0903659324999997</v>
      </c>
      <c r="H15" s="158">
        <v>3.1367214214874992</v>
      </c>
      <c r="I15" s="158">
        <v>3.1837722428098112</v>
      </c>
      <c r="J15" s="158">
        <v>3.2315288264519584</v>
      </c>
      <c r="K15" s="158">
        <v>3.2800017588487376</v>
      </c>
      <c r="L15" s="158">
        <v>3.3292017852314681</v>
      </c>
      <c r="M15" s="158">
        <v>3.3791398120099396</v>
      </c>
      <c r="N15" s="158">
        <v>3.4298269091900888</v>
      </c>
    </row>
    <row r="16" spans="1:14" s="78" customFormat="1">
      <c r="A16" s="154">
        <v>3</v>
      </c>
      <c r="B16" s="154" t="s">
        <v>177</v>
      </c>
      <c r="C16" s="163"/>
      <c r="D16" s="163"/>
      <c r="E16" s="163">
        <f>SUM(E17:E19)</f>
        <v>7089347.1713034082</v>
      </c>
      <c r="F16" s="163">
        <f t="shared" ref="F16:N16" si="3">SUM(F17:F19)</f>
        <v>2604183.1214664308</v>
      </c>
      <c r="G16" s="163">
        <f t="shared" si="3"/>
        <v>1486960.1213433519</v>
      </c>
      <c r="H16" s="163">
        <f t="shared" si="3"/>
        <v>916058.32734507811</v>
      </c>
      <c r="I16" s="163">
        <f t="shared" si="3"/>
        <v>7997845.4359357934</v>
      </c>
      <c r="J16" s="163">
        <f t="shared" si="3"/>
        <v>3433520.0677826931</v>
      </c>
      <c r="K16" s="163">
        <f t="shared" si="3"/>
        <v>2488321.5052111256</v>
      </c>
      <c r="L16" s="163">
        <f t="shared" si="3"/>
        <v>390243.53625581705</v>
      </c>
      <c r="M16" s="163">
        <f t="shared" si="3"/>
        <v>396097.18929965125</v>
      </c>
      <c r="N16" s="163">
        <f t="shared" si="3"/>
        <v>402038.64713915397</v>
      </c>
    </row>
    <row r="17" spans="1:14">
      <c r="A17" s="152"/>
      <c r="B17" s="152" t="s">
        <v>178</v>
      </c>
      <c r="C17" s="159"/>
      <c r="D17" s="159"/>
      <c r="E17" s="159">
        <f>'Working sheet'!E5</f>
        <v>12053369.884931508</v>
      </c>
      <c r="F17" s="159">
        <f>'Working sheet'!F5</f>
        <v>4258857.3593424633</v>
      </c>
      <c r="G17" s="159">
        <f>'Working sheet'!G5</f>
        <v>2314297.2402813681</v>
      </c>
      <c r="H17" s="159">
        <f>'Working sheet'!H5</f>
        <v>1329726.8868140855</v>
      </c>
      <c r="I17" s="159">
        <f>'Working sheet'!I5</f>
        <v>12879134.437670091</v>
      </c>
      <c r="J17" s="159">
        <f>'Working sheet'!J5</f>
        <v>5253661.7294463301</v>
      </c>
      <c r="K17" s="159">
        <f>'Working sheet'!K5</f>
        <v>3646593.4717243467</v>
      </c>
      <c r="L17" s="159">
        <f>'Working sheet'!L5</f>
        <v>626034.61515314947</v>
      </c>
      <c r="M17" s="159">
        <f>'Working sheet'!M5</f>
        <v>635425.13438044675</v>
      </c>
      <c r="N17" s="159">
        <f>'Working sheet'!N5</f>
        <v>644956.51139615488</v>
      </c>
    </row>
    <row r="18" spans="1:14">
      <c r="A18" s="152"/>
      <c r="B18" s="152" t="s">
        <v>66</v>
      </c>
      <c r="C18" s="159"/>
      <c r="D18" s="159"/>
      <c r="E18" s="159">
        <f>'Working sheet'!E10</f>
        <v>4964022.7136280993</v>
      </c>
      <c r="F18" s="159">
        <f>'Working sheet'!F10</f>
        <v>1654674.2378760329</v>
      </c>
      <c r="G18" s="159">
        <f>'Working sheet'!G10</f>
        <v>827337.11893801624</v>
      </c>
      <c r="H18" s="159">
        <f>'Working sheet'!H10</f>
        <v>413668.55946900742</v>
      </c>
      <c r="I18" s="159">
        <f>'Working sheet'!I10</f>
        <v>4881289.0017342968</v>
      </c>
      <c r="J18" s="159">
        <f>'Working sheet'!J10</f>
        <v>1820141.6616636368</v>
      </c>
      <c r="K18" s="159">
        <f>'Working sheet'!K10</f>
        <v>1158271.9665132214</v>
      </c>
      <c r="L18" s="159">
        <f>'Working sheet'!L10</f>
        <v>235791.07889733248</v>
      </c>
      <c r="M18" s="159">
        <f>'Working sheet'!M10</f>
        <v>239327.94508079553</v>
      </c>
      <c r="N18" s="159">
        <f>'Working sheet'!N10</f>
        <v>242917.86425700088</v>
      </c>
    </row>
    <row r="19" spans="1:14" s="78" customFormat="1">
      <c r="A19" s="154"/>
      <c r="B19" s="152" t="s">
        <v>179</v>
      </c>
      <c r="C19" s="163"/>
      <c r="D19" s="163"/>
      <c r="E19" s="159">
        <f>'Working sheet'!E15</f>
        <v>-9928045.4272561986</v>
      </c>
      <c r="F19" s="159">
        <f>'Working sheet'!F15</f>
        <v>-3309348.4757520659</v>
      </c>
      <c r="G19" s="159">
        <f>'Working sheet'!G15</f>
        <v>-1654674.2378760325</v>
      </c>
      <c r="H19" s="159">
        <f>'Working sheet'!H15</f>
        <v>-827337.11893801484</v>
      </c>
      <c r="I19" s="159">
        <f>'Working sheet'!I15</f>
        <v>-9762578.0034685936</v>
      </c>
      <c r="J19" s="159">
        <f>'Working sheet'!J15</f>
        <v>-3640283.3233272736</v>
      </c>
      <c r="K19" s="159">
        <f>'Working sheet'!K15</f>
        <v>-2316543.9330264428</v>
      </c>
      <c r="L19" s="159">
        <f>'Working sheet'!L15</f>
        <v>-471582.15779466496</v>
      </c>
      <c r="M19" s="159">
        <f>'Working sheet'!M15</f>
        <v>-478655.89016159106</v>
      </c>
      <c r="N19" s="159">
        <f>'Working sheet'!N15</f>
        <v>-485835.72851400176</v>
      </c>
    </row>
    <row r="20" spans="1:14">
      <c r="A20" s="152"/>
      <c r="B20" s="152"/>
      <c r="C20" s="159"/>
      <c r="D20" s="159"/>
      <c r="E20" s="160"/>
      <c r="F20" s="160"/>
      <c r="G20" s="160"/>
      <c r="H20" s="160"/>
      <c r="I20" s="160"/>
      <c r="J20" s="160"/>
      <c r="K20" s="160"/>
      <c r="L20" s="160"/>
      <c r="M20" s="160"/>
      <c r="N20" s="160"/>
    </row>
    <row r="21" spans="1:14" s="78" customFormat="1">
      <c r="A21" s="155">
        <v>4</v>
      </c>
      <c r="B21" s="155" t="s">
        <v>181</v>
      </c>
      <c r="C21" s="166"/>
      <c r="D21" s="166"/>
      <c r="E21" s="166">
        <f t="shared" ref="E21:N21" si="4">+E9+E16</f>
        <v>80414013.971303418</v>
      </c>
      <c r="F21" s="166">
        <f t="shared" si="4"/>
        <v>101836898.85746643</v>
      </c>
      <c r="G21" s="166">
        <f t="shared" si="4"/>
        <v>114798317.40238833</v>
      </c>
      <c r="H21" s="166">
        <f t="shared" si="4"/>
        <v>122316587.50317575</v>
      </c>
      <c r="I21" s="166">
        <f t="shared" si="4"/>
        <v>207746442.44092619</v>
      </c>
      <c r="J21" s="166">
        <f t="shared" si="4"/>
        <v>235141892.5935716</v>
      </c>
      <c r="K21" s="166">
        <f t="shared" si="4"/>
        <v>256380137.65065646</v>
      </c>
      <c r="L21" s="166">
        <f t="shared" si="4"/>
        <v>258090436.92388281</v>
      </c>
      <c r="M21" s="166">
        <f t="shared" si="4"/>
        <v>261961793.47774103</v>
      </c>
      <c r="N21" s="166">
        <f t="shared" si="4"/>
        <v>265891220.37990716</v>
      </c>
    </row>
    <row r="22" spans="1:14">
      <c r="A22" s="152"/>
      <c r="B22" s="152"/>
      <c r="C22" s="159"/>
      <c r="D22" s="159"/>
      <c r="E22" s="159"/>
      <c r="F22" s="167"/>
      <c r="G22" s="159"/>
      <c r="H22" s="159"/>
      <c r="I22" s="159"/>
      <c r="J22" s="159"/>
      <c r="K22" s="159"/>
      <c r="L22" s="159"/>
      <c r="M22" s="159"/>
      <c r="N22" s="159"/>
    </row>
    <row r="23" spans="1:14">
      <c r="A23" s="152">
        <v>5</v>
      </c>
      <c r="B23" s="154" t="s">
        <v>182</v>
      </c>
      <c r="C23" s="159"/>
      <c r="D23" s="159"/>
      <c r="E23" s="159"/>
      <c r="F23" s="159"/>
      <c r="G23" s="159"/>
      <c r="H23" s="159"/>
      <c r="I23" s="159"/>
      <c r="J23" s="159"/>
      <c r="K23" s="159"/>
      <c r="L23" s="159"/>
      <c r="M23" s="159"/>
      <c r="N23" s="159"/>
    </row>
    <row r="24" spans="1:14">
      <c r="A24" s="152"/>
      <c r="B24" s="152" t="s">
        <v>13</v>
      </c>
      <c r="C24" s="159"/>
      <c r="D24" s="82">
        <f>E24/E29</f>
        <v>0.81363529995556605</v>
      </c>
      <c r="E24" s="159">
        <f>'Opex '!$D$4*E8/2</f>
        <v>49140000</v>
      </c>
      <c r="F24" s="159">
        <f>'Opex '!$D$4*F8/2</f>
        <v>65520000</v>
      </c>
      <c r="G24" s="159">
        <f>'Opex '!$D$4*G8/2</f>
        <v>73710000</v>
      </c>
      <c r="H24" s="159">
        <f>'Opex '!$D$4*H8/2</f>
        <v>77805000</v>
      </c>
      <c r="I24" s="159">
        <f>'Opex '!$D$4*I8</f>
        <v>126126000</v>
      </c>
      <c r="J24" s="159">
        <f>'Opex '!$D$4*J8</f>
        <v>144144000</v>
      </c>
      <c r="K24" s="159">
        <f>'Opex '!$D$4*K8</f>
        <v>155610000</v>
      </c>
      <c r="L24" s="159">
        <f>'Opex '!$D$4*L8*1.015</f>
        <v>157944149.99999997</v>
      </c>
      <c r="M24" s="159">
        <f>L24*1.015</f>
        <v>160313312.24999994</v>
      </c>
      <c r="N24" s="159">
        <f>M24*1.015</f>
        <v>162718011.93374991</v>
      </c>
    </row>
    <row r="25" spans="1:14">
      <c r="A25" s="152"/>
      <c r="B25" s="152" t="s">
        <v>183</v>
      </c>
      <c r="C25" s="159"/>
      <c r="D25" s="82">
        <f>E25/$E$29</f>
        <v>9.763623599466793E-3</v>
      </c>
      <c r="E25" s="159">
        <f>'Opex '!$D$6*'Cash Flow Epoxy Resin'!E8/2</f>
        <v>589680</v>
      </c>
      <c r="F25" s="159">
        <f>'Opex '!$D$6*'Cash Flow Epoxy Resin'!F8/2</f>
        <v>786240</v>
      </c>
      <c r="G25" s="159">
        <f>'Opex '!$D$6*'Cash Flow Epoxy Resin'!G8/2</f>
        <v>884520</v>
      </c>
      <c r="H25" s="159">
        <f>'Opex '!$D$6*'Cash Flow Epoxy Resin'!H8/2</f>
        <v>933660</v>
      </c>
      <c r="I25" s="159">
        <f>'Opex '!$D$6*'Cash Flow Epoxy Resin'!I8</f>
        <v>1513512</v>
      </c>
      <c r="J25" s="159">
        <f>'Opex '!$D$6*'Cash Flow Epoxy Resin'!J8</f>
        <v>1729728</v>
      </c>
      <c r="K25" s="159">
        <f>'Opex '!$D$6*'Cash Flow Epoxy Resin'!K8</f>
        <v>1867320</v>
      </c>
      <c r="L25" s="159">
        <f>K25*1.015</f>
        <v>1895329.7999999998</v>
      </c>
      <c r="M25" s="159">
        <f>L25*1.015</f>
        <v>1923759.7469999997</v>
      </c>
      <c r="N25" s="159">
        <f>M25*1.015</f>
        <v>1952616.1432049996</v>
      </c>
    </row>
    <row r="26" spans="1:14">
      <c r="A26" s="152"/>
      <c r="B26" s="152" t="s">
        <v>184</v>
      </c>
      <c r="C26" s="159"/>
      <c r="D26" s="82">
        <f>E26/$E$29</f>
        <v>4.3587605354762464E-2</v>
      </c>
      <c r="E26" s="159">
        <f>'Opex '!$D$8*'Cash Flow Epoxy Resin'!E8/2</f>
        <v>2632500</v>
      </c>
      <c r="F26" s="159">
        <f>'Opex '!$D$8*'Cash Flow Epoxy Resin'!F8/2</f>
        <v>3510000</v>
      </c>
      <c r="G26" s="159">
        <f>'Opex '!$D$8*'Cash Flow Epoxy Resin'!G8/2</f>
        <v>3948750</v>
      </c>
      <c r="H26" s="159">
        <f>'Opex '!$D$8*'Cash Flow Epoxy Resin'!H8/2</f>
        <v>4168125</v>
      </c>
      <c r="I26" s="159">
        <f>'Opex '!$D$8*'Cash Flow Epoxy Resin'!I8</f>
        <v>6756750</v>
      </c>
      <c r="J26" s="159">
        <f>'Opex '!$D$8*'Cash Flow Epoxy Resin'!J8</f>
        <v>7722000</v>
      </c>
      <c r="K26" s="159">
        <f>'Opex '!$D$8*'Cash Flow Epoxy Resin'!K8</f>
        <v>8336250</v>
      </c>
      <c r="L26" s="159">
        <f t="shared" ref="L26:N28" si="5">K26*1.015</f>
        <v>8461293.75</v>
      </c>
      <c r="M26" s="159">
        <f t="shared" si="5"/>
        <v>8588213.15625</v>
      </c>
      <c r="N26" s="159">
        <f t="shared" si="5"/>
        <v>8717036.3535937499</v>
      </c>
    </row>
    <row r="27" spans="1:14">
      <c r="A27" s="152"/>
      <c r="B27" s="152" t="s">
        <v>185</v>
      </c>
      <c r="C27" s="159"/>
      <c r="D27" s="82">
        <f>E27/$E$29</f>
        <v>2.4562985786704648E-2</v>
      </c>
      <c r="E27" s="159">
        <f>'Opex '!$D$11*'Cash Flow Epoxy Resin'!E8/2</f>
        <v>1483496.5022100001</v>
      </c>
      <c r="F27" s="159">
        <f>'Opex '!$D$11*'Cash Flow Epoxy Resin'!F8/2</f>
        <v>1977995.3362800004</v>
      </c>
      <c r="G27" s="159">
        <f>'Opex '!$D$11*'Cash Flow Epoxy Resin'!G8/2</f>
        <v>2225244.7533150003</v>
      </c>
      <c r="H27" s="159">
        <f>'Opex '!$D$11*'Cash Flow Epoxy Resin'!H8/2</f>
        <v>2348869.4618325001</v>
      </c>
      <c r="I27" s="159">
        <f>'Opex '!$D$11*'Cash Flow Epoxy Resin'!I8</f>
        <v>3807641.0223390004</v>
      </c>
      <c r="J27" s="159">
        <f>'Opex '!$D$11*'Cash Flow Epoxy Resin'!J8</f>
        <v>4351589.7398160007</v>
      </c>
      <c r="K27" s="159">
        <f>'Opex '!$D$11*'Cash Flow Epoxy Resin'!K8</f>
        <v>4697738.9236650001</v>
      </c>
      <c r="L27" s="159">
        <f t="shared" si="5"/>
        <v>4768205.0075199744</v>
      </c>
      <c r="M27" s="159">
        <f t="shared" si="5"/>
        <v>4839728.0826327736</v>
      </c>
      <c r="N27" s="159">
        <f t="shared" si="5"/>
        <v>4912324.0038722651</v>
      </c>
    </row>
    <row r="28" spans="1:14">
      <c r="A28" s="152"/>
      <c r="B28" s="152" t="s">
        <v>186</v>
      </c>
      <c r="C28" s="159"/>
      <c r="D28" s="82">
        <f>E28/$E$29</f>
        <v>0.10845048530350002</v>
      </c>
      <c r="E28" s="159">
        <f>'Opex '!$D$15*'Cash Flow Epoxy Resin'!E8/2</f>
        <v>6549933.1802652003</v>
      </c>
      <c r="F28" s="159">
        <f>'Opex '!$D$15*'Cash Flow Epoxy Resin'!F8/2</f>
        <v>8733244.2403536011</v>
      </c>
      <c r="G28" s="159">
        <f>'Opex '!$D$15*'Cash Flow Epoxy Resin'!G8/2</f>
        <v>9824899.770397801</v>
      </c>
      <c r="H28" s="159">
        <f>'Opex '!$D$15*'Cash Flow Epoxy Resin'!H8/2</f>
        <v>10370727.5354199</v>
      </c>
      <c r="I28" s="159">
        <f>'Opex '!$D$15*'Cash Flow Epoxy Resin'!I8</f>
        <v>16811495.162680682</v>
      </c>
      <c r="J28" s="159">
        <f>'Opex '!$D$15*'Cash Flow Epoxy Resin'!J8</f>
        <v>19213137.32877792</v>
      </c>
      <c r="K28" s="159">
        <f>'Opex '!$D$15*'Cash Flow Epoxy Resin'!K8</f>
        <v>20741455.0708398</v>
      </c>
      <c r="L28" s="159">
        <f t="shared" si="5"/>
        <v>21052576.896902394</v>
      </c>
      <c r="M28" s="159">
        <f t="shared" si="5"/>
        <v>21368365.550355926</v>
      </c>
      <c r="N28" s="159">
        <f t="shared" si="5"/>
        <v>21688891.033611264</v>
      </c>
    </row>
    <row r="29" spans="1:14" s="78" customFormat="1">
      <c r="A29" s="154"/>
      <c r="B29" s="154" t="s">
        <v>70</v>
      </c>
      <c r="C29" s="163"/>
      <c r="D29" s="163"/>
      <c r="E29" s="163">
        <f t="shared" ref="E29:N29" si="6">SUM(E24:E28)</f>
        <v>60395609.682475202</v>
      </c>
      <c r="F29" s="163">
        <f t="shared" si="6"/>
        <v>80527479.576633602</v>
      </c>
      <c r="G29" s="163">
        <f t="shared" si="6"/>
        <v>90593414.523712799</v>
      </c>
      <c r="H29" s="163">
        <f t="shared" si="6"/>
        <v>95626381.99725239</v>
      </c>
      <c r="I29" s="163">
        <f t="shared" si="6"/>
        <v>155015398.18501967</v>
      </c>
      <c r="J29" s="163">
        <f t="shared" si="6"/>
        <v>177160455.06859392</v>
      </c>
      <c r="K29" s="163">
        <f t="shared" si="6"/>
        <v>191252763.99450478</v>
      </c>
      <c r="L29" s="163">
        <f t="shared" si="6"/>
        <v>194121555.45442232</v>
      </c>
      <c r="M29" s="163">
        <f t="shared" si="6"/>
        <v>197033378.78623867</v>
      </c>
      <c r="N29" s="163">
        <f t="shared" si="6"/>
        <v>199988879.46803218</v>
      </c>
    </row>
    <row r="30" spans="1:14">
      <c r="A30" s="152"/>
      <c r="B30" s="152"/>
      <c r="C30" s="159"/>
      <c r="D30" s="159"/>
      <c r="E30" s="159"/>
      <c r="F30" s="159"/>
      <c r="G30" s="159"/>
      <c r="H30" s="159"/>
      <c r="I30" s="159"/>
      <c r="J30" s="159"/>
      <c r="K30" s="159"/>
      <c r="L30" s="159"/>
      <c r="M30" s="159"/>
      <c r="N30" s="159"/>
    </row>
    <row r="31" spans="1:14" s="78" customFormat="1">
      <c r="A31" s="156">
        <v>6</v>
      </c>
      <c r="B31" s="156" t="s">
        <v>71</v>
      </c>
      <c r="C31" s="168"/>
      <c r="D31" s="168"/>
      <c r="E31" s="168">
        <f t="shared" ref="E31:N31" si="7">E9-E29</f>
        <v>12929057.11752481</v>
      </c>
      <c r="F31" s="168">
        <f t="shared" si="7"/>
        <v>18705236.159366399</v>
      </c>
      <c r="G31" s="168">
        <f t="shared" si="7"/>
        <v>22717942.757332191</v>
      </c>
      <c r="H31" s="168">
        <f t="shared" si="7"/>
        <v>25774147.178578287</v>
      </c>
      <c r="I31" s="168">
        <f t="shared" si="7"/>
        <v>44733198.819970727</v>
      </c>
      <c r="J31" s="168">
        <f t="shared" si="7"/>
        <v>54547917.457194984</v>
      </c>
      <c r="K31" s="168">
        <f t="shared" si="7"/>
        <v>62639052.150940567</v>
      </c>
      <c r="L31" s="168">
        <f t="shared" si="7"/>
        <v>63578637.933204681</v>
      </c>
      <c r="M31" s="168">
        <f t="shared" si="7"/>
        <v>64532317.502202719</v>
      </c>
      <c r="N31" s="168">
        <f t="shared" si="7"/>
        <v>65500302.264735818</v>
      </c>
    </row>
    <row r="32" spans="1:14">
      <c r="A32" s="152"/>
      <c r="B32" s="152"/>
      <c r="C32" s="159"/>
      <c r="D32" s="159"/>
      <c r="E32" s="159"/>
      <c r="F32" s="159"/>
      <c r="G32" s="159"/>
      <c r="H32" s="159"/>
      <c r="I32" s="159"/>
      <c r="J32" s="159"/>
      <c r="K32" s="159"/>
      <c r="L32" s="159"/>
      <c r="M32" s="159"/>
      <c r="N32" s="159"/>
    </row>
    <row r="33" spans="1:14">
      <c r="A33" s="152">
        <v>7</v>
      </c>
      <c r="B33" s="152" t="s">
        <v>72</v>
      </c>
      <c r="C33" s="159"/>
      <c r="D33" s="159"/>
      <c r="E33" s="159">
        <f>D5/10</f>
        <v>-3414212.1479999996</v>
      </c>
      <c r="F33" s="159">
        <f>E33</f>
        <v>-3414212.1479999996</v>
      </c>
      <c r="G33" s="159">
        <f t="shared" ref="G33:N33" si="8">F33</f>
        <v>-3414212.1479999996</v>
      </c>
      <c r="H33" s="159">
        <f t="shared" si="8"/>
        <v>-3414212.1479999996</v>
      </c>
      <c r="I33" s="159">
        <f t="shared" si="8"/>
        <v>-3414212.1479999996</v>
      </c>
      <c r="J33" s="159">
        <f t="shared" si="8"/>
        <v>-3414212.1479999996</v>
      </c>
      <c r="K33" s="159">
        <f t="shared" si="8"/>
        <v>-3414212.1479999996</v>
      </c>
      <c r="L33" s="159">
        <f t="shared" si="8"/>
        <v>-3414212.1479999996</v>
      </c>
      <c r="M33" s="159">
        <f t="shared" si="8"/>
        <v>-3414212.1479999996</v>
      </c>
      <c r="N33" s="159">
        <f t="shared" si="8"/>
        <v>-3414212.1479999996</v>
      </c>
    </row>
    <row r="34" spans="1:14">
      <c r="A34" s="152"/>
      <c r="B34" s="152"/>
      <c r="C34" s="159"/>
      <c r="D34" s="159"/>
      <c r="E34" s="159"/>
      <c r="F34" s="159"/>
      <c r="G34" s="159"/>
      <c r="H34" s="159"/>
      <c r="I34" s="159"/>
      <c r="J34" s="159"/>
      <c r="K34" s="159"/>
      <c r="L34" s="159"/>
      <c r="M34" s="159"/>
      <c r="N34" s="159"/>
    </row>
    <row r="35" spans="1:14">
      <c r="A35" s="152">
        <v>8</v>
      </c>
      <c r="B35" s="152" t="s">
        <v>187</v>
      </c>
      <c r="C35" s="169">
        <v>0.3</v>
      </c>
      <c r="D35" s="159"/>
      <c r="E35" s="159">
        <f>(E31-E33)*$C$35</f>
        <v>4902980.7796574431</v>
      </c>
      <c r="F35" s="159">
        <f t="shared" ref="F35:N35" si="9">(F31-F33)*$C$35</f>
        <v>6635834.4922099188</v>
      </c>
      <c r="G35" s="159">
        <f t="shared" si="9"/>
        <v>7839646.4715996562</v>
      </c>
      <c r="H35" s="159">
        <f t="shared" si="9"/>
        <v>8756507.7979734857</v>
      </c>
      <c r="I35" s="159">
        <f t="shared" si="9"/>
        <v>14444223.290391218</v>
      </c>
      <c r="J35" s="159">
        <f t="shared" si="9"/>
        <v>17388638.881558497</v>
      </c>
      <c r="K35" s="159">
        <f t="shared" si="9"/>
        <v>19815979.289682169</v>
      </c>
      <c r="L35" s="159">
        <f t="shared" si="9"/>
        <v>20097855.024361406</v>
      </c>
      <c r="M35" s="159">
        <f t="shared" si="9"/>
        <v>20383958.895060815</v>
      </c>
      <c r="N35" s="159">
        <f t="shared" si="9"/>
        <v>20674354.323820744</v>
      </c>
    </row>
    <row r="36" spans="1:14">
      <c r="A36" s="152"/>
      <c r="B36" s="152"/>
      <c r="C36" s="170"/>
      <c r="D36" s="159"/>
      <c r="E36" s="159"/>
      <c r="F36" s="159"/>
      <c r="G36" s="159"/>
      <c r="H36" s="159"/>
      <c r="I36" s="159"/>
      <c r="J36" s="159"/>
      <c r="K36" s="159"/>
      <c r="L36" s="159"/>
      <c r="M36" s="159"/>
      <c r="N36" s="159"/>
    </row>
    <row r="37" spans="1:14" s="78" customFormat="1">
      <c r="A37" s="155"/>
      <c r="B37" s="155" t="s">
        <v>73</v>
      </c>
      <c r="C37" s="166"/>
      <c r="D37" s="166">
        <f>D6</f>
        <v>-34142121.479999997</v>
      </c>
      <c r="E37" s="166">
        <f>E31-E33-E35</f>
        <v>11440288.485867366</v>
      </c>
      <c r="F37" s="166">
        <f t="shared" ref="F37:L37" si="10">F31-F33-F35</f>
        <v>15483613.815156478</v>
      </c>
      <c r="G37" s="166">
        <f t="shared" si="10"/>
        <v>18292508.433732532</v>
      </c>
      <c r="H37" s="166">
        <f t="shared" si="10"/>
        <v>20431851.528604798</v>
      </c>
      <c r="I37" s="166">
        <f t="shared" si="10"/>
        <v>33703187.677579507</v>
      </c>
      <c r="J37" s="166">
        <f t="shared" si="10"/>
        <v>40573490.723636493</v>
      </c>
      <c r="K37" s="166">
        <f t="shared" si="10"/>
        <v>46237285.009258404</v>
      </c>
      <c r="L37" s="166">
        <f t="shared" si="10"/>
        <v>46894995.056843281</v>
      </c>
      <c r="M37" s="166">
        <f>M31-M33-M35</f>
        <v>47562570.755141906</v>
      </c>
      <c r="N37" s="166">
        <f>N31-N33-N35</f>
        <v>48240160.08891508</v>
      </c>
    </row>
    <row r="38" spans="1:14">
      <c r="A38" s="152"/>
      <c r="B38" s="152"/>
      <c r="C38" s="159"/>
      <c r="D38" s="159"/>
      <c r="E38" s="159"/>
      <c r="F38" s="159"/>
      <c r="G38" s="159"/>
      <c r="H38" s="159"/>
      <c r="I38" s="159"/>
      <c r="J38" s="159"/>
      <c r="K38" s="159"/>
      <c r="L38" s="159"/>
      <c r="M38" s="159"/>
      <c r="N38" s="159"/>
    </row>
    <row r="39" spans="1:14">
      <c r="A39" s="152"/>
      <c r="B39" s="152" t="s">
        <v>188</v>
      </c>
      <c r="C39" s="169">
        <v>0.1</v>
      </c>
      <c r="D39" s="159">
        <v>1</v>
      </c>
      <c r="E39" s="171">
        <f>1/(1+$C$39)</f>
        <v>0.90909090909090906</v>
      </c>
      <c r="F39" s="171">
        <f>E39/(1+$C$39)</f>
        <v>0.82644628099173545</v>
      </c>
      <c r="G39" s="171">
        <f t="shared" ref="G39:N39" si="11">F39/(1+$C$39)</f>
        <v>0.75131480090157765</v>
      </c>
      <c r="H39" s="171">
        <f t="shared" si="11"/>
        <v>0.68301345536507052</v>
      </c>
      <c r="I39" s="171">
        <f t="shared" si="11"/>
        <v>0.62092132305915493</v>
      </c>
      <c r="J39" s="171">
        <f t="shared" si="11"/>
        <v>0.56447393005377711</v>
      </c>
      <c r="K39" s="171">
        <f t="shared" si="11"/>
        <v>0.51315811823070645</v>
      </c>
      <c r="L39" s="171">
        <f t="shared" si="11"/>
        <v>0.46650738020973309</v>
      </c>
      <c r="M39" s="171">
        <f t="shared" si="11"/>
        <v>0.42409761837248461</v>
      </c>
      <c r="N39" s="171">
        <f t="shared" si="11"/>
        <v>0.38554328942953142</v>
      </c>
    </row>
    <row r="40" spans="1:14">
      <c r="A40" s="152"/>
      <c r="B40" s="152" t="s">
        <v>189</v>
      </c>
      <c r="C40" s="159"/>
      <c r="D40" s="172">
        <f t="shared" ref="D40:N40" si="12">D37*D39</f>
        <v>-34142121.479999997</v>
      </c>
      <c r="E40" s="172">
        <f>E37*E39</f>
        <v>10400262.259879423</v>
      </c>
      <c r="F40" s="172">
        <f t="shared" si="12"/>
        <v>12796375.053848328</v>
      </c>
      <c r="G40" s="172">
        <f t="shared" si="12"/>
        <v>13743432.331880188</v>
      </c>
      <c r="H40" s="172">
        <f t="shared" si="12"/>
        <v>13955229.512058461</v>
      </c>
      <c r="I40" s="172">
        <f t="shared" si="12"/>
        <v>20927027.884073675</v>
      </c>
      <c r="J40" s="172">
        <f t="shared" si="12"/>
        <v>22902677.764771558</v>
      </c>
      <c r="K40" s="172">
        <f t="shared" si="12"/>
        <v>23727038.167447895</v>
      </c>
      <c r="L40" s="172">
        <f t="shared" si="12"/>
        <v>21876861.288916342</v>
      </c>
      <c r="M40" s="172">
        <f t="shared" si="12"/>
        <v>20171172.980928469</v>
      </c>
      <c r="N40" s="172">
        <f t="shared" si="12"/>
        <v>18598670.003287517</v>
      </c>
    </row>
    <row r="41" spans="1:14">
      <c r="A41" s="152"/>
      <c r="B41" s="152" t="s">
        <v>190</v>
      </c>
      <c r="C41" s="159"/>
      <c r="D41" s="172">
        <f>D37</f>
        <v>-34142121.479999997</v>
      </c>
      <c r="E41" s="172">
        <f>E37</f>
        <v>11440288.485867366</v>
      </c>
      <c r="F41" s="172">
        <f t="shared" ref="F41:N41" si="13">F37</f>
        <v>15483613.815156478</v>
      </c>
      <c r="G41" s="172">
        <f t="shared" si="13"/>
        <v>18292508.433732532</v>
      </c>
      <c r="H41" s="172">
        <f t="shared" si="13"/>
        <v>20431851.528604798</v>
      </c>
      <c r="I41" s="172">
        <f t="shared" si="13"/>
        <v>33703187.677579507</v>
      </c>
      <c r="J41" s="172">
        <f t="shared" si="13"/>
        <v>40573490.723636493</v>
      </c>
      <c r="K41" s="172">
        <f t="shared" si="13"/>
        <v>46237285.009258404</v>
      </c>
      <c r="L41" s="172">
        <f t="shared" si="13"/>
        <v>46894995.056843281</v>
      </c>
      <c r="M41" s="172">
        <f t="shared" si="13"/>
        <v>47562570.755141906</v>
      </c>
      <c r="N41" s="172">
        <f t="shared" si="13"/>
        <v>48240160.08891508</v>
      </c>
    </row>
    <row r="42" spans="1:14">
      <c r="A42" s="152"/>
      <c r="B42" s="152" t="s">
        <v>191</v>
      </c>
      <c r="C42" s="159"/>
      <c r="D42" s="172">
        <f>D41</f>
        <v>-34142121.479999997</v>
      </c>
      <c r="E42" s="172">
        <f>D41+E37</f>
        <v>-22701832.994132631</v>
      </c>
      <c r="F42" s="172">
        <f>E42+F37</f>
        <v>-7218219.1789761521</v>
      </c>
      <c r="G42" s="172">
        <f t="shared" ref="G42:N42" si="14">F42+G37</f>
        <v>11074289.25475638</v>
      </c>
      <c r="H42" s="172">
        <f t="shared" si="14"/>
        <v>31506140.783361178</v>
      </c>
      <c r="I42" s="172">
        <f t="shared" si="14"/>
        <v>65209328.460940689</v>
      </c>
      <c r="J42" s="172">
        <f t="shared" si="14"/>
        <v>105782819.18457718</v>
      </c>
      <c r="K42" s="172">
        <f t="shared" si="14"/>
        <v>152020104.19383559</v>
      </c>
      <c r="L42" s="172">
        <f t="shared" si="14"/>
        <v>198915099.25067887</v>
      </c>
      <c r="M42" s="172">
        <f t="shared" si="14"/>
        <v>246477670.00582078</v>
      </c>
      <c r="N42" s="172">
        <f t="shared" si="14"/>
        <v>294717830.09473586</v>
      </c>
    </row>
    <row r="43" spans="1:14">
      <c r="A43" s="152"/>
      <c r="B43" s="152"/>
      <c r="C43" s="159"/>
      <c r="D43" s="159"/>
      <c r="E43" s="172"/>
      <c r="F43" s="172"/>
      <c r="G43" s="172"/>
      <c r="H43" s="172"/>
      <c r="I43" s="172"/>
      <c r="J43" s="172"/>
      <c r="K43" s="172"/>
      <c r="L43" s="172"/>
      <c r="M43" s="172"/>
      <c r="N43" s="172"/>
    </row>
    <row r="44" spans="1:14" ht="15.75" thickBot="1">
      <c r="A44" s="152"/>
      <c r="B44" s="173"/>
      <c r="C44" s="174"/>
      <c r="D44" s="174"/>
      <c r="E44" s="172"/>
      <c r="F44" s="172"/>
      <c r="G44" s="172"/>
      <c r="H44" s="172"/>
      <c r="I44" s="172"/>
      <c r="J44" s="172"/>
      <c r="K44" s="172"/>
      <c r="L44" s="172"/>
      <c r="M44" s="172"/>
      <c r="N44" s="172"/>
    </row>
    <row r="45" spans="1:14">
      <c r="A45" s="157"/>
      <c r="B45" s="175" t="s">
        <v>192</v>
      </c>
      <c r="C45" s="176">
        <v>0.1</v>
      </c>
      <c r="D45" s="177">
        <f>NPV(C45,(E37:N37))+D37</f>
        <v>144956625.76709187</v>
      </c>
      <c r="E45" s="178"/>
      <c r="F45" s="159"/>
      <c r="G45" s="159"/>
      <c r="H45" s="159"/>
      <c r="I45" s="159"/>
      <c r="J45" s="159"/>
      <c r="K45" s="159"/>
      <c r="L45" s="159"/>
      <c r="M45" s="159"/>
      <c r="N45" s="159"/>
    </row>
    <row r="46" spans="1:14">
      <c r="A46" s="157"/>
      <c r="B46" s="179" t="s">
        <v>75</v>
      </c>
      <c r="C46" s="180"/>
      <c r="D46" s="181">
        <f>IRR(D37:N37,0.1)</f>
        <v>0.54890923072507514</v>
      </c>
      <c r="E46" s="178"/>
      <c r="F46" s="159"/>
      <c r="G46" s="159"/>
      <c r="H46" s="159"/>
      <c r="I46" s="159"/>
      <c r="J46" s="159"/>
      <c r="K46" s="159"/>
      <c r="L46" s="159"/>
      <c r="M46" s="159"/>
      <c r="N46" s="159"/>
    </row>
    <row r="47" spans="1:14" ht="15.75" thickBot="1">
      <c r="A47" s="157"/>
      <c r="B47" s="182" t="s">
        <v>193</v>
      </c>
      <c r="C47" s="183"/>
      <c r="D47" s="184">
        <f>IF(SUM(E52:N52)&lt;10,SUM(E52:N52)," N/A ")</f>
        <v>2.394599745853625</v>
      </c>
      <c r="E47" s="178"/>
      <c r="F47" s="159"/>
      <c r="G47" s="159"/>
      <c r="H47" s="159"/>
      <c r="I47" s="159"/>
      <c r="J47" s="159"/>
      <c r="K47" s="159"/>
      <c r="L47" s="159"/>
      <c r="M47" s="159"/>
      <c r="N47" s="159"/>
    </row>
    <row r="48" spans="1:14">
      <c r="D48" s="94"/>
      <c r="E48" s="94"/>
      <c r="F48" s="94"/>
      <c r="G48" s="94"/>
      <c r="H48" s="94"/>
      <c r="I48" s="94"/>
      <c r="J48" s="94"/>
      <c r="K48" s="94"/>
      <c r="L48" s="94"/>
      <c r="M48" s="94"/>
      <c r="N48" s="94"/>
    </row>
    <row r="49" spans="3:14" hidden="1">
      <c r="D49" s="94"/>
      <c r="E49" s="94"/>
      <c r="F49" s="94"/>
      <c r="G49" s="94"/>
      <c r="H49" s="94"/>
      <c r="I49" s="94"/>
      <c r="J49" s="94"/>
      <c r="K49" s="94"/>
      <c r="L49" s="94"/>
      <c r="M49" s="94"/>
      <c r="N49" s="94"/>
    </row>
    <row r="50" spans="3:14" hidden="1">
      <c r="C50" s="83"/>
      <c r="D50" s="185"/>
      <c r="E50" s="84">
        <v>1</v>
      </c>
      <c r="F50" s="84">
        <v>2</v>
      </c>
      <c r="G50" s="84">
        <v>3</v>
      </c>
      <c r="H50" s="84">
        <v>4</v>
      </c>
      <c r="I50" s="84">
        <v>5</v>
      </c>
      <c r="J50" s="84">
        <v>6</v>
      </c>
      <c r="K50" s="84">
        <v>7</v>
      </c>
      <c r="L50" s="84">
        <v>8</v>
      </c>
      <c r="M50" s="84">
        <v>9</v>
      </c>
      <c r="N50" s="84">
        <v>10</v>
      </c>
    </row>
    <row r="51" spans="3:14" hidden="1">
      <c r="C51" s="85"/>
      <c r="D51" s="85"/>
      <c r="E51" s="86">
        <f>IF(E42&lt;0,1,IF(E41=0,0,-D42/E41))</f>
        <v>1</v>
      </c>
      <c r="F51" s="86">
        <f t="shared" ref="F51:N51" si="15">IF(F42&lt;0,1,IF(F41=0,0,-E42/F41))</f>
        <v>1</v>
      </c>
      <c r="G51" s="86">
        <f t="shared" si="15"/>
        <v>0.39459974585362517</v>
      </c>
      <c r="H51" s="86">
        <f t="shared" si="15"/>
        <v>-0.54201104776296283</v>
      </c>
      <c r="I51" s="86">
        <f t="shared" si="15"/>
        <v>-0.93481189627413552</v>
      </c>
      <c r="J51" s="86">
        <f t="shared" si="15"/>
        <v>-1.6071904905868093</v>
      </c>
      <c r="K51" s="86">
        <f t="shared" si="15"/>
        <v>-2.2878250564105476</v>
      </c>
      <c r="L51" s="86">
        <f t="shared" si="15"/>
        <v>-3.2417127672060952</v>
      </c>
      <c r="M51" s="86">
        <f t="shared" si="15"/>
        <v>-4.1821772055745008</v>
      </c>
      <c r="N51" s="86">
        <f t="shared" si="15"/>
        <v>-5.1093874802968973</v>
      </c>
    </row>
    <row r="52" spans="3:14" hidden="1">
      <c r="E52" s="87">
        <f t="shared" ref="E52:N52" si="16">IF(E51&gt;0,E51,0)</f>
        <v>1</v>
      </c>
      <c r="F52" s="87">
        <f t="shared" si="16"/>
        <v>1</v>
      </c>
      <c r="G52" s="87">
        <f t="shared" si="16"/>
        <v>0.39459974585362517</v>
      </c>
      <c r="H52" s="87">
        <f t="shared" si="16"/>
        <v>0</v>
      </c>
      <c r="I52" s="87">
        <f t="shared" si="16"/>
        <v>0</v>
      </c>
      <c r="J52" s="87">
        <f t="shared" si="16"/>
        <v>0</v>
      </c>
      <c r="K52" s="87">
        <f t="shared" si="16"/>
        <v>0</v>
      </c>
      <c r="L52" s="87">
        <f t="shared" si="16"/>
        <v>0</v>
      </c>
      <c r="M52" s="87">
        <f t="shared" si="16"/>
        <v>0</v>
      </c>
      <c r="N52" s="87">
        <f t="shared" si="16"/>
        <v>0</v>
      </c>
    </row>
    <row r="53" spans="3:14" hidden="1"/>
    <row r="54" spans="3:14">
      <c r="E54" s="85"/>
    </row>
    <row r="55" spans="3:14">
      <c r="L55" s="88"/>
      <c r="N55" s="88"/>
    </row>
    <row r="58" spans="3:14">
      <c r="I58" s="89"/>
      <c r="J58" s="89"/>
      <c r="K58" s="89"/>
      <c r="L58" s="89"/>
      <c r="M58" s="89"/>
      <c r="N58" s="89"/>
    </row>
    <row r="66" spans="6:13">
      <c r="F66" s="215"/>
      <c r="G66" s="215"/>
      <c r="H66" s="215"/>
      <c r="I66" s="215"/>
      <c r="J66" s="215"/>
      <c r="K66" s="215"/>
    </row>
    <row r="67" spans="6:13" ht="14.45" customHeight="1">
      <c r="F67" s="216"/>
      <c r="G67" s="216"/>
      <c r="H67" s="216"/>
      <c r="I67" s="216"/>
      <c r="J67" s="216"/>
      <c r="K67" s="216"/>
    </row>
    <row r="68" spans="6:13" ht="14.45" customHeight="1">
      <c r="F68" s="216"/>
      <c r="G68" s="216"/>
      <c r="H68" s="216"/>
      <c r="I68" s="216"/>
      <c r="J68" s="216"/>
      <c r="K68" s="216"/>
    </row>
    <row r="69" spans="6:13">
      <c r="F69" s="217"/>
      <c r="G69" s="217"/>
      <c r="H69" s="217"/>
      <c r="I69" s="217"/>
      <c r="J69" s="217"/>
      <c r="K69" s="217"/>
    </row>
    <row r="70" spans="6:13">
      <c r="F70" s="89"/>
      <c r="G70" s="89"/>
      <c r="H70" s="90"/>
      <c r="I70" s="90"/>
      <c r="J70" s="90"/>
      <c r="K70" s="90"/>
      <c r="M70" s="90"/>
    </row>
    <row r="71" spans="6:13">
      <c r="F71" s="91"/>
      <c r="G71" s="213"/>
      <c r="H71" s="213"/>
      <c r="I71" s="213"/>
      <c r="J71" s="213"/>
      <c r="K71" s="213"/>
    </row>
    <row r="72" spans="6:13">
      <c r="F72" s="89"/>
      <c r="G72" s="90"/>
      <c r="H72" s="90"/>
      <c r="I72" s="90"/>
      <c r="J72" s="90"/>
      <c r="K72" s="90"/>
      <c r="M72" s="90"/>
    </row>
    <row r="73" spans="6:13">
      <c r="F73" s="89"/>
      <c r="G73" s="89"/>
      <c r="H73" s="89"/>
      <c r="I73" s="89"/>
      <c r="J73" s="89"/>
      <c r="K73" s="89"/>
      <c r="M73" s="89"/>
    </row>
    <row r="74" spans="6:13">
      <c r="F74" s="91"/>
      <c r="G74" s="213"/>
      <c r="H74" s="213"/>
      <c r="I74" s="213"/>
      <c r="J74" s="213"/>
      <c r="K74" s="213"/>
    </row>
    <row r="75" spans="6:13">
      <c r="F75" s="89"/>
      <c r="G75" s="90"/>
      <c r="H75" s="90"/>
      <c r="I75" s="90"/>
      <c r="J75" s="90"/>
      <c r="K75" s="90"/>
      <c r="M75" s="90"/>
    </row>
    <row r="76" spans="6:13">
      <c r="F76" s="89"/>
      <c r="G76" s="89"/>
      <c r="H76" s="89"/>
      <c r="I76" s="89"/>
      <c r="J76" s="89"/>
      <c r="K76" s="89"/>
      <c r="M76" s="89"/>
    </row>
    <row r="77" spans="6:13">
      <c r="F77" s="91"/>
      <c r="G77" s="213"/>
      <c r="H77" s="213"/>
      <c r="I77" s="213"/>
      <c r="J77" s="213"/>
      <c r="K77" s="213"/>
    </row>
    <row r="78" spans="6:13">
      <c r="F78" s="89"/>
      <c r="G78" s="90"/>
      <c r="H78" s="90"/>
      <c r="I78" s="90"/>
      <c r="J78" s="90"/>
      <c r="K78" s="90"/>
      <c r="M78" s="90"/>
    </row>
    <row r="79" spans="6:13">
      <c r="F79" s="89"/>
      <c r="G79" s="89"/>
      <c r="H79" s="89"/>
      <c r="I79" s="89"/>
      <c r="J79" s="89"/>
      <c r="K79" s="89"/>
      <c r="M79" s="89"/>
    </row>
  </sheetData>
  <mergeCells count="7">
    <mergeCell ref="G77:K77"/>
    <mergeCell ref="E2:N2"/>
    <mergeCell ref="F66:K66"/>
    <mergeCell ref="F67:K68"/>
    <mergeCell ref="F69:K69"/>
    <mergeCell ref="G71:K71"/>
    <mergeCell ref="G74:K74"/>
  </mergeCells>
  <hyperlinks>
    <hyperlink ref="B45" r:id="rId1" display="NPV@12%" xr:uid="{0BB7C041-A4AB-43FA-B143-B912C3F05368}"/>
  </hyperlinks>
  <pageMargins left="0.7" right="0.7" top="0.75" bottom="0.75" header="0.3" footer="0.3"/>
  <pageSetup orientation="portrait"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0C8401-7663-453E-8EB8-DBA5B6BBAC0E}">
  <dimension ref="A1:O50"/>
  <sheetViews>
    <sheetView zoomScale="91" workbookViewId="0">
      <selection activeCell="D10" sqref="D10"/>
    </sheetView>
  </sheetViews>
  <sheetFormatPr defaultRowHeight="15"/>
  <cols>
    <col min="1" max="1" width="9.28515625" bestFit="1" customWidth="1"/>
    <col min="2" max="2" width="61.85546875" bestFit="1" customWidth="1"/>
    <col min="3" max="3" width="17.5703125" customWidth="1"/>
    <col min="4" max="5" width="13.42578125" bestFit="1" customWidth="1"/>
    <col min="6" max="6" width="11.7109375" bestFit="1" customWidth="1"/>
    <col min="7" max="9" width="13.42578125" bestFit="1" customWidth="1"/>
    <col min="10" max="10" width="16.42578125" bestFit="1" customWidth="1"/>
    <col min="11" max="13" width="11.5703125" bestFit="1" customWidth="1"/>
  </cols>
  <sheetData>
    <row r="1" spans="1:13" ht="15.75" thickBot="1"/>
    <row r="2" spans="1:13" ht="15.75" thickBot="1">
      <c r="A2" s="13"/>
      <c r="B2" s="13"/>
      <c r="C2" s="221" t="s">
        <v>133</v>
      </c>
      <c r="D2" s="222"/>
      <c r="E2" s="222"/>
      <c r="F2" s="222"/>
      <c r="G2" s="222"/>
      <c r="H2" s="222"/>
      <c r="I2" s="222"/>
      <c r="J2" s="222"/>
      <c r="K2" s="222"/>
      <c r="L2" s="222"/>
      <c r="M2" s="222"/>
    </row>
    <row r="3" spans="1:13" ht="15.75" thickBot="1">
      <c r="A3" s="12"/>
      <c r="B3" s="15" t="s">
        <v>61</v>
      </c>
      <c r="C3" s="14" t="s">
        <v>62</v>
      </c>
      <c r="D3" s="218" t="s">
        <v>63</v>
      </c>
      <c r="E3" s="219"/>
      <c r="F3" s="219"/>
      <c r="G3" s="219"/>
      <c r="H3" s="219"/>
      <c r="I3" s="219"/>
      <c r="J3" s="219"/>
      <c r="K3" s="220"/>
    </row>
    <row r="4" spans="1:13" ht="15.75" thickBot="1">
      <c r="A4" s="16" t="s">
        <v>3</v>
      </c>
      <c r="B4" s="16" t="s">
        <v>64</v>
      </c>
      <c r="C4" s="18">
        <v>0</v>
      </c>
      <c r="D4" s="19">
        <v>1</v>
      </c>
      <c r="E4" s="19">
        <v>2</v>
      </c>
      <c r="F4" s="19">
        <v>3</v>
      </c>
      <c r="G4" s="19">
        <v>4</v>
      </c>
      <c r="H4" s="19">
        <v>5</v>
      </c>
      <c r="I4" s="19">
        <v>6</v>
      </c>
      <c r="J4" s="20">
        <v>7</v>
      </c>
      <c r="K4" s="20">
        <v>8</v>
      </c>
      <c r="L4" s="20">
        <v>9</v>
      </c>
      <c r="M4" s="20">
        <v>10</v>
      </c>
    </row>
    <row r="5" spans="1:13" ht="15.75" thickBot="1">
      <c r="A5" s="2"/>
      <c r="B5" s="2"/>
      <c r="C5" s="21"/>
      <c r="D5" s="22"/>
      <c r="E5" s="22"/>
      <c r="F5" s="22"/>
      <c r="G5" s="22"/>
      <c r="H5" s="22"/>
      <c r="I5" s="22"/>
      <c r="J5" s="23"/>
      <c r="K5" s="2"/>
    </row>
    <row r="6" spans="1:13" ht="15.75" thickBot="1">
      <c r="A6" s="2">
        <v>1</v>
      </c>
      <c r="B6" s="2" t="s">
        <v>139</v>
      </c>
      <c r="C6" s="21"/>
      <c r="D6" s="22"/>
      <c r="E6" s="22"/>
      <c r="F6" s="22"/>
      <c r="G6" s="22"/>
      <c r="H6" s="22"/>
      <c r="I6" s="22"/>
      <c r="J6" s="24"/>
      <c r="K6" s="2"/>
    </row>
    <row r="7" spans="1:13" ht="15.75" thickBot="1">
      <c r="A7" s="2"/>
      <c r="B7" s="2" t="s">
        <v>140</v>
      </c>
      <c r="C7" s="55">
        <f>Capex!C20</f>
        <v>34142121.479999997</v>
      </c>
      <c r="D7" s="22"/>
      <c r="E7" s="22"/>
      <c r="F7" s="22"/>
      <c r="G7" s="22"/>
      <c r="H7" s="22"/>
      <c r="I7" s="22"/>
      <c r="J7" s="24"/>
      <c r="K7" s="2"/>
    </row>
    <row r="8" spans="1:13" ht="15.75" thickBot="1">
      <c r="A8" s="2"/>
      <c r="B8" s="2"/>
      <c r="C8" s="58"/>
      <c r="D8" s="72" t="s">
        <v>169</v>
      </c>
      <c r="E8" s="72" t="s">
        <v>170</v>
      </c>
      <c r="F8" s="72" t="s">
        <v>171</v>
      </c>
      <c r="G8" s="72" t="s">
        <v>171</v>
      </c>
      <c r="H8" s="72" t="s">
        <v>172</v>
      </c>
      <c r="I8" s="72" t="s">
        <v>173</v>
      </c>
      <c r="J8" s="72" t="s">
        <v>174</v>
      </c>
      <c r="K8" s="2" t="s">
        <v>180</v>
      </c>
      <c r="L8" s="2" t="s">
        <v>180</v>
      </c>
      <c r="M8" s="2" t="s">
        <v>180</v>
      </c>
    </row>
    <row r="9" spans="1:13" ht="15.75" thickBot="1">
      <c r="A9" s="2">
        <v>2</v>
      </c>
      <c r="B9" s="2" t="s">
        <v>65</v>
      </c>
      <c r="C9" s="21"/>
      <c r="D9" s="59">
        <f>3.03*42000*0.6*1000</f>
        <v>76355999.999999985</v>
      </c>
      <c r="E9" s="59">
        <f>3.08*42000*0.8*1000</f>
        <v>103488000</v>
      </c>
      <c r="F9" s="59">
        <f>3.12*42000*0.95*1000</f>
        <v>124488000</v>
      </c>
      <c r="G9" s="59">
        <f>3.17*42000*0.95*1000</f>
        <v>126483000</v>
      </c>
      <c r="H9" s="59">
        <f>3.22*84000*0.7*1000</f>
        <v>189336000</v>
      </c>
      <c r="I9" s="59">
        <f>3.26*84000*0.8*1000</f>
        <v>219072000</v>
      </c>
      <c r="J9" s="59">
        <f>3.03*84000*0.9*1000</f>
        <v>229067999.99999997</v>
      </c>
      <c r="K9" s="59">
        <f>3.03*84000*0.95*1000</f>
        <v>241793999.99999997</v>
      </c>
      <c r="L9" s="59">
        <f>3.03*84000*0.95*1000</f>
        <v>241793999.99999997</v>
      </c>
      <c r="M9" s="59">
        <f>3.03*84000*0.95*1000</f>
        <v>241793999.99999997</v>
      </c>
    </row>
    <row r="10" spans="1:13" ht="15.75" thickBot="1">
      <c r="A10" s="2"/>
      <c r="B10" s="74" t="s">
        <v>175</v>
      </c>
      <c r="C10" s="21"/>
      <c r="D10" s="59">
        <f>42*0.6</f>
        <v>25.2</v>
      </c>
      <c r="E10" s="59">
        <f>42*0.8</f>
        <v>33.6</v>
      </c>
      <c r="F10" s="59">
        <f>42*0.95</f>
        <v>39.9</v>
      </c>
      <c r="G10" s="59">
        <f>42*0.95</f>
        <v>39.9</v>
      </c>
      <c r="H10" s="59">
        <f>84*0.7</f>
        <v>58.8</v>
      </c>
      <c r="I10" s="59">
        <f>84*0.8</f>
        <v>67.2</v>
      </c>
      <c r="J10" s="59">
        <f>84*0.9</f>
        <v>75.600000000000009</v>
      </c>
      <c r="K10" s="2">
        <f>84*0.95</f>
        <v>79.8</v>
      </c>
      <c r="L10" s="2">
        <f>84*0.95</f>
        <v>79.8</v>
      </c>
      <c r="M10" s="2">
        <f>84*0.95</f>
        <v>79.8</v>
      </c>
    </row>
    <row r="11" spans="1:13" ht="15.75" thickBot="1">
      <c r="A11" s="2"/>
      <c r="B11" s="74" t="s">
        <v>176</v>
      </c>
      <c r="C11" s="21"/>
      <c r="D11" s="73">
        <v>3.03</v>
      </c>
      <c r="E11" s="73">
        <f>D11*1.015</f>
        <v>3.0754499999999996</v>
      </c>
      <c r="F11" s="73">
        <f t="shared" ref="F11:M11" si="0">E11*1.015</f>
        <v>3.1215817499999994</v>
      </c>
      <c r="G11" s="73">
        <f t="shared" si="0"/>
        <v>3.1684054762499989</v>
      </c>
      <c r="H11" s="73">
        <f t="shared" si="0"/>
        <v>3.2159315583937484</v>
      </c>
      <c r="I11" s="73">
        <f t="shared" si="0"/>
        <v>3.2641705317696545</v>
      </c>
      <c r="J11" s="73">
        <f t="shared" si="0"/>
        <v>3.313133089746199</v>
      </c>
      <c r="K11" s="73">
        <f t="shared" si="0"/>
        <v>3.3628300860923916</v>
      </c>
      <c r="L11" s="73">
        <f t="shared" si="0"/>
        <v>3.4132725373837771</v>
      </c>
      <c r="M11" s="73">
        <f t="shared" si="0"/>
        <v>3.4644716254445336</v>
      </c>
    </row>
    <row r="12" spans="1:13" ht="15.75" thickBot="1">
      <c r="A12" s="2"/>
      <c r="B12" s="74"/>
      <c r="C12" s="21"/>
      <c r="D12" s="76"/>
      <c r="E12" s="73"/>
      <c r="F12" s="73"/>
      <c r="G12" s="73"/>
      <c r="H12" s="73"/>
      <c r="I12" s="73"/>
      <c r="J12" s="73"/>
      <c r="K12" s="2"/>
      <c r="L12" s="34"/>
    </row>
    <row r="13" spans="1:13" ht="15.75" thickBot="1">
      <c r="A13" s="2">
        <v>3</v>
      </c>
      <c r="B13" s="64" t="s">
        <v>177</v>
      </c>
      <c r="C13" s="21"/>
      <c r="D13" s="75">
        <f>SUM(D14:D16)</f>
        <v>7089347.1713034082</v>
      </c>
      <c r="E13" s="75">
        <f t="shared" ref="E13:M13" si="1">SUM(E14:E16)</f>
        <v>2604183.1214664308</v>
      </c>
      <c r="F13" s="75">
        <f t="shared" si="1"/>
        <v>1486960.1213433519</v>
      </c>
      <c r="G13" s="75">
        <f t="shared" si="1"/>
        <v>916058.32734507811</v>
      </c>
      <c r="H13" s="75">
        <f t="shared" si="1"/>
        <v>7997845.4359357934</v>
      </c>
      <c r="I13" s="75">
        <f t="shared" si="1"/>
        <v>3433520.0677826931</v>
      </c>
      <c r="J13" s="75">
        <f t="shared" si="1"/>
        <v>2488321.5052111256</v>
      </c>
      <c r="K13" s="75">
        <f t="shared" si="1"/>
        <v>390243.53625581705</v>
      </c>
      <c r="L13" s="75">
        <f t="shared" si="1"/>
        <v>396097.18929965125</v>
      </c>
      <c r="M13" s="75">
        <f t="shared" si="1"/>
        <v>402038.64713915397</v>
      </c>
    </row>
    <row r="14" spans="1:13" ht="15.75" thickBot="1">
      <c r="A14" s="2"/>
      <c r="B14" s="2" t="s">
        <v>178</v>
      </c>
      <c r="C14" s="21"/>
      <c r="D14" s="77">
        <f>'Working sheet'!E5</f>
        <v>12053369.884931508</v>
      </c>
      <c r="E14" s="77">
        <f>'Working sheet'!F5</f>
        <v>4258857.3593424633</v>
      </c>
      <c r="F14" s="77">
        <f>'Working sheet'!G5</f>
        <v>2314297.2402813681</v>
      </c>
      <c r="G14" s="77">
        <f>'Working sheet'!H5</f>
        <v>1329726.8868140855</v>
      </c>
      <c r="H14" s="77">
        <f>'Working sheet'!I5</f>
        <v>12879134.437670091</v>
      </c>
      <c r="I14" s="77">
        <f>'Working sheet'!J5</f>
        <v>5253661.7294463301</v>
      </c>
      <c r="J14" s="77">
        <f>'Working sheet'!K5</f>
        <v>3646593.4717243467</v>
      </c>
      <c r="K14" s="77">
        <f>'Working sheet'!L5</f>
        <v>626034.61515314947</v>
      </c>
      <c r="L14" s="77">
        <f>'Working sheet'!M5</f>
        <v>635425.13438044675</v>
      </c>
      <c r="M14" s="77">
        <f>'Working sheet'!N5</f>
        <v>644956.51139615488</v>
      </c>
    </row>
    <row r="15" spans="1:13" ht="15.75" thickBot="1">
      <c r="A15" s="2"/>
      <c r="B15" s="2" t="s">
        <v>66</v>
      </c>
      <c r="C15" s="21"/>
      <c r="D15" s="77">
        <f>'Working sheet'!E10</f>
        <v>4964022.7136280993</v>
      </c>
      <c r="E15" s="77">
        <f>'Working sheet'!F10</f>
        <v>1654674.2378760329</v>
      </c>
      <c r="F15" s="77">
        <f>'Working sheet'!G10</f>
        <v>827337.11893801624</v>
      </c>
      <c r="G15" s="77">
        <f>'Working sheet'!H10</f>
        <v>413668.55946900742</v>
      </c>
      <c r="H15" s="77">
        <f>'Working sheet'!I10</f>
        <v>4881289.0017342968</v>
      </c>
      <c r="I15" s="77">
        <f>'Working sheet'!J10</f>
        <v>1820141.6616636368</v>
      </c>
      <c r="J15" s="77">
        <f>'Working sheet'!K10</f>
        <v>1158271.9665132214</v>
      </c>
      <c r="K15" s="77">
        <f>'Working sheet'!L10</f>
        <v>235791.07889733248</v>
      </c>
      <c r="L15" s="77">
        <f>'Working sheet'!M10</f>
        <v>239327.94508079553</v>
      </c>
      <c r="M15" s="77">
        <f>'Working sheet'!N10</f>
        <v>242917.86425700088</v>
      </c>
    </row>
    <row r="16" spans="1:13" ht="15.75" thickBot="1">
      <c r="A16" s="2"/>
      <c r="B16" s="2" t="s">
        <v>179</v>
      </c>
      <c r="C16" s="21"/>
      <c r="D16" s="77">
        <f>'Working sheet'!E15</f>
        <v>-9928045.4272561986</v>
      </c>
      <c r="E16" s="77">
        <f>'Working sheet'!F15</f>
        <v>-3309348.4757520659</v>
      </c>
      <c r="F16" s="77">
        <f>'Working sheet'!G15</f>
        <v>-1654674.2378760325</v>
      </c>
      <c r="G16" s="77">
        <f>'Working sheet'!H15</f>
        <v>-827337.11893801484</v>
      </c>
      <c r="H16" s="77">
        <f>'Working sheet'!I15</f>
        <v>-9762578.0034685936</v>
      </c>
      <c r="I16" s="77">
        <f>'Working sheet'!J15</f>
        <v>-3640283.3233272736</v>
      </c>
      <c r="J16" s="77">
        <f>'Working sheet'!K15</f>
        <v>-2316543.9330264428</v>
      </c>
      <c r="K16" s="77">
        <f>'Working sheet'!L15</f>
        <v>-471582.15779466496</v>
      </c>
      <c r="L16" s="77">
        <f>'Working sheet'!M15</f>
        <v>-478655.89016159106</v>
      </c>
      <c r="M16" s="77">
        <f>'Working sheet'!N15</f>
        <v>-485835.72851400176</v>
      </c>
    </row>
    <row r="17" spans="1:15" ht="15.75" thickBot="1">
      <c r="A17" s="2"/>
      <c r="B17" s="2"/>
      <c r="C17" s="21"/>
      <c r="D17" s="22"/>
      <c r="E17" s="22"/>
      <c r="F17" s="22"/>
      <c r="G17" s="22"/>
      <c r="H17" s="22"/>
      <c r="I17" s="22"/>
      <c r="J17" s="24"/>
      <c r="K17" s="2"/>
    </row>
    <row r="18" spans="1:15" ht="15.75" thickBot="1">
      <c r="A18" s="2">
        <v>4</v>
      </c>
      <c r="B18" s="2" t="s">
        <v>141</v>
      </c>
      <c r="C18" s="60">
        <f>C8</f>
        <v>0</v>
      </c>
      <c r="D18" s="61">
        <f>D9</f>
        <v>76355999.999999985</v>
      </c>
      <c r="E18" s="61">
        <f>E9</f>
        <v>103488000</v>
      </c>
      <c r="F18" s="26">
        <f t="shared" ref="F18:M18" si="2">F9</f>
        <v>124488000</v>
      </c>
      <c r="G18" s="26">
        <f t="shared" si="2"/>
        <v>126483000</v>
      </c>
      <c r="H18" s="26">
        <f t="shared" si="2"/>
        <v>189336000</v>
      </c>
      <c r="I18" s="26">
        <f t="shared" si="2"/>
        <v>219072000</v>
      </c>
      <c r="J18" s="26">
        <f t="shared" si="2"/>
        <v>229067999.99999997</v>
      </c>
      <c r="K18" s="26">
        <f t="shared" si="2"/>
        <v>241793999.99999997</v>
      </c>
      <c r="L18" s="26">
        <f t="shared" si="2"/>
        <v>241793999.99999997</v>
      </c>
      <c r="M18" s="26">
        <f t="shared" si="2"/>
        <v>241793999.99999997</v>
      </c>
    </row>
    <row r="19" spans="1:15" ht="15.75" thickBot="1">
      <c r="A19" s="2"/>
      <c r="B19" s="2"/>
      <c r="C19" s="21"/>
      <c r="D19" s="22"/>
      <c r="E19" s="22"/>
      <c r="F19" s="22"/>
      <c r="G19" s="22"/>
      <c r="H19" s="22"/>
      <c r="I19" s="22"/>
      <c r="J19" s="24"/>
      <c r="K19" s="2"/>
    </row>
    <row r="20" spans="1:15" ht="15.75" thickBot="1">
      <c r="A20" s="17" t="s">
        <v>6</v>
      </c>
      <c r="B20" s="17" t="s">
        <v>67</v>
      </c>
      <c r="C20" s="21"/>
      <c r="D20" s="22"/>
      <c r="E20" s="22"/>
      <c r="F20" s="22"/>
      <c r="G20" s="22"/>
      <c r="H20" s="22"/>
      <c r="I20" s="22"/>
      <c r="J20" s="24"/>
      <c r="K20" s="2"/>
    </row>
    <row r="21" spans="1:15" ht="15.75" thickBot="1">
      <c r="A21" s="2"/>
      <c r="B21" s="2"/>
      <c r="C21" s="21"/>
      <c r="D21" s="22"/>
      <c r="E21" s="22"/>
      <c r="F21" s="22"/>
      <c r="G21" s="22"/>
      <c r="H21" s="22"/>
      <c r="I21" s="22"/>
      <c r="J21" s="24"/>
      <c r="K21" s="2"/>
    </row>
    <row r="22" spans="1:15" ht="15.75" thickBot="1">
      <c r="A22" s="2">
        <v>1</v>
      </c>
      <c r="B22" s="2" t="s">
        <v>68</v>
      </c>
      <c r="C22" s="25">
        <f>C8</f>
        <v>0</v>
      </c>
      <c r="D22" s="22"/>
      <c r="E22" s="22"/>
      <c r="F22" s="22"/>
      <c r="G22" s="22"/>
      <c r="H22" s="22"/>
      <c r="I22" s="22"/>
      <c r="J22" s="24"/>
      <c r="K22" s="2"/>
    </row>
    <row r="23" spans="1:15" ht="15.75" thickBot="1">
      <c r="A23" s="2"/>
      <c r="B23" s="2"/>
      <c r="C23" s="21"/>
      <c r="D23" s="22"/>
      <c r="E23" s="22"/>
      <c r="F23" s="22"/>
      <c r="G23" s="22"/>
      <c r="H23" s="22"/>
      <c r="I23" s="22"/>
      <c r="J23" s="24"/>
      <c r="K23" s="2"/>
    </row>
    <row r="24" spans="1:15" ht="15.75" thickBot="1">
      <c r="A24" s="2">
        <v>2</v>
      </c>
      <c r="B24" s="35" t="s">
        <v>69</v>
      </c>
      <c r="C24" s="21"/>
      <c r="D24" s="22"/>
      <c r="E24" s="22"/>
      <c r="F24" s="22"/>
      <c r="G24" s="22"/>
      <c r="H24" s="22"/>
      <c r="I24" s="22"/>
      <c r="J24" s="24"/>
      <c r="K24" s="2"/>
    </row>
    <row r="25" spans="1:15" ht="15.75" thickBot="1">
      <c r="A25" s="2"/>
      <c r="B25" s="2" t="s">
        <v>148</v>
      </c>
      <c r="C25" s="21"/>
      <c r="D25" s="36">
        <f>Opex!D8+Opex!D9+Opex!D10+Opex!D12+Opex!D15+Opex!D17+Opex!D19</f>
        <v>25063334.046416797</v>
      </c>
      <c r="E25" s="36">
        <v>27063843.190680083</v>
      </c>
      <c r="F25" s="36">
        <v>27063843.190680083</v>
      </c>
      <c r="G25" s="36">
        <v>27063843.190680083</v>
      </c>
      <c r="H25" s="36">
        <v>27063843.190680083</v>
      </c>
      <c r="I25" s="36">
        <v>27063843.190680083</v>
      </c>
      <c r="J25" s="36">
        <v>27063843.190680083</v>
      </c>
      <c r="K25" s="36">
        <v>27063843.190680083</v>
      </c>
      <c r="L25" s="36">
        <v>27063843.190680083</v>
      </c>
      <c r="M25" s="36">
        <v>31043737.654680081</v>
      </c>
    </row>
    <row r="26" spans="1:15" ht="15.75" thickBot="1">
      <c r="A26" s="2"/>
      <c r="B26" s="2" t="s">
        <v>142</v>
      </c>
      <c r="C26" s="21"/>
      <c r="D26" s="36">
        <f>(Opex!D4*0.6)/2</f>
        <v>49140000</v>
      </c>
      <c r="E26" s="36">
        <f>(Opex!D4*0.8)/2</f>
        <v>65520000</v>
      </c>
      <c r="F26" s="36">
        <f>(Opex!D4*0.95)/2</f>
        <v>77805000</v>
      </c>
      <c r="G26" s="36">
        <f>(Opex!D4*0.95)/2</f>
        <v>77805000</v>
      </c>
      <c r="H26" s="36">
        <f>(Opex!D4*0.7)</f>
        <v>114660000</v>
      </c>
      <c r="I26" s="36">
        <f>(Opex!F4*0.8)</f>
        <v>9605232000</v>
      </c>
      <c r="J26" s="36">
        <f>(Opex!D4*0.8)</f>
        <v>131040000</v>
      </c>
      <c r="K26" s="36">
        <f>(Opex!D4*0.8)</f>
        <v>131040000</v>
      </c>
      <c r="L26" s="36">
        <f>(Opex!D4*0.8)</f>
        <v>131040000</v>
      </c>
      <c r="M26" s="36">
        <f>(Opex!D4*0.8)</f>
        <v>131040000</v>
      </c>
    </row>
    <row r="27" spans="1:15" ht="15.75" thickBot="1">
      <c r="A27" s="2"/>
      <c r="B27" s="2" t="s">
        <v>147</v>
      </c>
      <c r="C27" s="21"/>
      <c r="D27" s="36">
        <f>((Opex!D5+Opex!D6)*0.6)/2</f>
        <v>692874</v>
      </c>
      <c r="E27" s="36">
        <f>((Opex!D6+Opex!D5)*0.8)/2</f>
        <v>923832</v>
      </c>
      <c r="F27" s="36">
        <f>((Opex!D6+Opex!D5)*0.95)/2</f>
        <v>1097050.5</v>
      </c>
      <c r="G27" s="36">
        <f>((Opex!D6+Opex!D5)*0.95)/2</f>
        <v>1097050.5</v>
      </c>
      <c r="H27" s="36">
        <f>((Opex!D6+Opex!D5)*0.7)</f>
        <v>1616706</v>
      </c>
      <c r="I27" s="36">
        <f>((Opex!D6+Opex!D5)*0.8)</f>
        <v>1847664</v>
      </c>
      <c r="J27" s="36">
        <f>((Opex!D6+Opex!D5)*0.95)</f>
        <v>2194101</v>
      </c>
      <c r="K27" s="36">
        <f>((Opex!D6+Opex!D5)*0.95)</f>
        <v>2194101</v>
      </c>
      <c r="L27" s="36">
        <f>((Opex!D6+Opex!D5)*0.95)</f>
        <v>2194101</v>
      </c>
      <c r="M27" s="36">
        <f>((Opex!D6+Opex!D5)*0.95)</f>
        <v>2194101</v>
      </c>
    </row>
    <row r="28" spans="1:15" ht="15.75" thickBot="1">
      <c r="A28" s="2"/>
      <c r="B28" s="2" t="s">
        <v>146</v>
      </c>
      <c r="C28" s="21"/>
      <c r="D28" s="36">
        <f>((Opex!$D$7+Opex!$D$11+Opex!$D$18)*0.6)/2</f>
        <v>11708820.145196769</v>
      </c>
      <c r="E28" s="36">
        <f>((Opex!$D$7+Opex!$D$11+Opex!$D$18)*0.8)/2</f>
        <v>15611760.193595693</v>
      </c>
      <c r="F28" s="36">
        <f>((Opex!$D$7+Opex!$D$11+Opex!$D$18)*0.95)/2</f>
        <v>18538965.229894884</v>
      </c>
      <c r="G28" s="36">
        <f>((Opex!$D$7+Opex!$D$11+Opex!$D$18)*0.95)/2</f>
        <v>18538965.229894884</v>
      </c>
      <c r="H28" s="36">
        <f>((Opex!$D$7+Opex!$D$11+Opex!$D$18)*0.7)</f>
        <v>27320580.338792462</v>
      </c>
      <c r="I28" s="36">
        <f>((Opex!$D$7+Opex!$D$11+Opex!$D$18)*0.8)</f>
        <v>31223520.387191385</v>
      </c>
      <c r="J28" s="36">
        <f>((Opex!$D$7+Opex!$D$11+Opex!$D$18)*0.9)</f>
        <v>35126460.435590312</v>
      </c>
      <c r="K28" s="36">
        <f>((Opex!$D$7+Opex!$D$11+Opex!$D$18)*0.95)</f>
        <v>37077930.459789768</v>
      </c>
      <c r="L28" s="36">
        <f>((Opex!$D$7+Opex!$D$11+Opex!$D$18)*0.95)</f>
        <v>37077930.459789768</v>
      </c>
      <c r="M28" s="36">
        <f>((Opex!$D$7+Opex!$D$11+Opex!$D$18)*0.95)</f>
        <v>37077930.459789768</v>
      </c>
    </row>
    <row r="29" spans="1:15" ht="15.75" thickBot="1">
      <c r="A29" s="2"/>
      <c r="B29" s="2" t="s">
        <v>131</v>
      </c>
      <c r="C29" s="21"/>
      <c r="D29" s="26">
        <v>0</v>
      </c>
      <c r="E29" s="26">
        <v>0</v>
      </c>
      <c r="F29" s="26">
        <v>0</v>
      </c>
      <c r="G29" s="26">
        <v>0</v>
      </c>
      <c r="H29" s="26">
        <v>0</v>
      </c>
      <c r="I29" s="26">
        <v>0</v>
      </c>
      <c r="J29" s="26">
        <v>0</v>
      </c>
      <c r="K29" s="2"/>
    </row>
    <row r="30" spans="1:15" ht="15.75" thickBot="1">
      <c r="A30" s="2"/>
      <c r="B30" s="2" t="s">
        <v>70</v>
      </c>
      <c r="C30" s="21"/>
      <c r="D30" s="36">
        <f>SUM(D25:D29)</f>
        <v>86605028.191613555</v>
      </c>
      <c r="E30" s="36">
        <f t="shared" ref="E30:M30" si="3">SUM(E25:E29)</f>
        <v>109119435.38427578</v>
      </c>
      <c r="F30" s="36">
        <f t="shared" si="3"/>
        <v>124504858.92057496</v>
      </c>
      <c r="G30" s="36">
        <f t="shared" si="3"/>
        <v>124504858.92057496</v>
      </c>
      <c r="H30" s="36">
        <f t="shared" si="3"/>
        <v>170661129.52947256</v>
      </c>
      <c r="I30" s="36">
        <f t="shared" si="3"/>
        <v>9665367027.5778713</v>
      </c>
      <c r="J30" s="36">
        <f t="shared" si="3"/>
        <v>195424404.62627041</v>
      </c>
      <c r="K30" s="36">
        <f t="shared" si="3"/>
        <v>197375874.65046984</v>
      </c>
      <c r="L30" s="36">
        <f t="shared" si="3"/>
        <v>197375874.65046984</v>
      </c>
      <c r="M30" s="36">
        <f t="shared" si="3"/>
        <v>201355769.11446983</v>
      </c>
    </row>
    <row r="31" spans="1:15" ht="15.75" thickBot="1">
      <c r="A31" s="2"/>
      <c r="B31" s="2"/>
      <c r="C31" s="21"/>
      <c r="D31" s="22"/>
      <c r="E31" s="22"/>
      <c r="F31" s="22"/>
      <c r="G31" s="22"/>
      <c r="H31" s="22"/>
      <c r="I31" s="22"/>
      <c r="J31" s="24"/>
      <c r="K31" s="2"/>
    </row>
    <row r="32" spans="1:15" ht="15.75" thickBot="1">
      <c r="A32" s="2">
        <v>3</v>
      </c>
      <c r="B32" s="2" t="s">
        <v>71</v>
      </c>
      <c r="C32" s="21"/>
      <c r="D32" s="36">
        <f>D9-D30</f>
        <v>-10249028.19161357</v>
      </c>
      <c r="E32" s="36">
        <f>E9-E30</f>
        <v>-5631435.3842757791</v>
      </c>
      <c r="F32" s="36">
        <f t="shared" ref="F32:O32" si="4">F9-F30</f>
        <v>-16858.920574963093</v>
      </c>
      <c r="G32" s="36">
        <f t="shared" si="4"/>
        <v>1978141.0794250369</v>
      </c>
      <c r="H32" s="36">
        <f t="shared" si="4"/>
        <v>18674870.47052744</v>
      </c>
      <c r="I32" s="36">
        <f t="shared" si="4"/>
        <v>-9446295027.5778713</v>
      </c>
      <c r="J32" s="36">
        <f t="shared" si="4"/>
        <v>33643595.373729557</v>
      </c>
      <c r="K32" s="36">
        <f t="shared" si="4"/>
        <v>44418125.349530131</v>
      </c>
      <c r="L32" s="36">
        <f t="shared" si="4"/>
        <v>44418125.349530131</v>
      </c>
      <c r="M32" s="36">
        <f t="shared" si="4"/>
        <v>40438230.885530144</v>
      </c>
      <c r="N32" s="36">
        <f t="shared" si="4"/>
        <v>0</v>
      </c>
      <c r="O32" s="36">
        <f t="shared" si="4"/>
        <v>0</v>
      </c>
    </row>
    <row r="33" spans="1:11" ht="15.75" thickBot="1">
      <c r="A33" s="2"/>
      <c r="B33" s="2"/>
      <c r="C33" s="21"/>
      <c r="D33" s="22"/>
      <c r="E33" s="22"/>
      <c r="F33" s="22"/>
      <c r="G33" s="22"/>
      <c r="H33" s="22"/>
      <c r="I33" s="22"/>
      <c r="J33" s="24"/>
      <c r="K33" s="2"/>
    </row>
    <row r="34" spans="1:11" ht="15.75" thickBot="1">
      <c r="A34" s="2">
        <v>4</v>
      </c>
      <c r="B34" s="2" t="s">
        <v>72</v>
      </c>
      <c r="C34" s="21"/>
      <c r="D34" s="36">
        <v>3108458.39017735</v>
      </c>
      <c r="E34" s="36">
        <v>3108458.3901773538</v>
      </c>
      <c r="F34" s="36">
        <v>3108458.3901773538</v>
      </c>
      <c r="G34" s="36">
        <v>3108458.39017735</v>
      </c>
      <c r="H34" s="36">
        <v>3108458.3901773538</v>
      </c>
      <c r="I34" s="36">
        <v>3108458.3901773538</v>
      </c>
      <c r="J34" s="36">
        <v>3108458.3901773538</v>
      </c>
      <c r="K34" s="2"/>
    </row>
    <row r="35" spans="1:11" ht="15.75" thickBot="1">
      <c r="A35" s="2"/>
      <c r="B35" s="2"/>
      <c r="C35" s="21"/>
      <c r="D35" s="36"/>
      <c r="E35" s="36"/>
      <c r="F35" s="36"/>
      <c r="G35" s="36"/>
      <c r="H35" s="36"/>
      <c r="I35" s="36"/>
      <c r="J35" s="36"/>
      <c r="K35" s="2"/>
    </row>
    <row r="36" spans="1:11" ht="15.75" thickBot="1">
      <c r="A36" s="2">
        <v>5</v>
      </c>
      <c r="B36" s="2" t="s">
        <v>150</v>
      </c>
      <c r="C36" s="21"/>
      <c r="D36" s="36">
        <f>(D32-D34)*30%</f>
        <v>-4007245.9745372757</v>
      </c>
      <c r="E36" s="36">
        <f t="shared" ref="E36:J36" si="5">(E32-E34)*30%</f>
        <v>-2621968.1323359399</v>
      </c>
      <c r="F36" s="36">
        <f t="shared" si="5"/>
        <v>-937595.19322569505</v>
      </c>
      <c r="G36" s="36">
        <f t="shared" si="5"/>
        <v>-339095.19322569395</v>
      </c>
      <c r="H36" s="36">
        <f t="shared" si="5"/>
        <v>4669923.624105026</v>
      </c>
      <c r="I36" s="36">
        <f t="shared" si="5"/>
        <v>-2834821045.7904143</v>
      </c>
      <c r="J36" s="36">
        <f t="shared" si="5"/>
        <v>9160541.0950656608</v>
      </c>
      <c r="K36" s="2"/>
    </row>
    <row r="37" spans="1:11" ht="15.75" thickBot="1">
      <c r="A37" s="17" t="s">
        <v>8</v>
      </c>
      <c r="B37" s="17" t="s">
        <v>73</v>
      </c>
      <c r="C37" s="25">
        <f>-C22</f>
        <v>0</v>
      </c>
      <c r="D37" s="36">
        <f>D32-D34-D36</f>
        <v>-9350240.6072536446</v>
      </c>
      <c r="E37" s="36">
        <f t="shared" ref="E37:J37" si="6">E32-E34-E36</f>
        <v>-6117925.642117193</v>
      </c>
      <c r="F37" s="36">
        <f t="shared" si="6"/>
        <v>-2187722.1175266216</v>
      </c>
      <c r="G37" s="36">
        <f t="shared" si="6"/>
        <v>-791222.11752661923</v>
      </c>
      <c r="H37" s="36">
        <f t="shared" si="6"/>
        <v>10896488.456245061</v>
      </c>
      <c r="I37" s="36">
        <f t="shared" si="6"/>
        <v>-6614582440.1776333</v>
      </c>
      <c r="J37" s="36">
        <f t="shared" si="6"/>
        <v>21374595.888486542</v>
      </c>
      <c r="K37" s="2"/>
    </row>
    <row r="38" spans="1:11" ht="15.75" thickBot="1">
      <c r="A38" s="2"/>
      <c r="B38" s="2" t="s">
        <v>153</v>
      </c>
      <c r="C38" s="22">
        <f>C37</f>
        <v>0</v>
      </c>
      <c r="D38" s="62">
        <f>C38+D37</f>
        <v>-9350240.6072536446</v>
      </c>
      <c r="E38" s="62">
        <f t="shared" ref="E38:J38" si="7">D38+E37</f>
        <v>-15468166.249370838</v>
      </c>
      <c r="F38" s="62">
        <f t="shared" si="7"/>
        <v>-17655888.36689746</v>
      </c>
      <c r="G38" s="62">
        <f t="shared" si="7"/>
        <v>-18447110.484424081</v>
      </c>
      <c r="H38" s="62">
        <f t="shared" si="7"/>
        <v>-7550622.0281790197</v>
      </c>
      <c r="I38" s="62">
        <f t="shared" si="7"/>
        <v>-6622133062.2058125</v>
      </c>
      <c r="J38" s="62">
        <f t="shared" si="7"/>
        <v>-6600758466.3173256</v>
      </c>
      <c r="K38" s="52"/>
    </row>
    <row r="39" spans="1:11" ht="15.75" thickBot="1">
      <c r="A39" s="2"/>
      <c r="B39" s="2"/>
      <c r="C39" s="22"/>
      <c r="D39" s="22"/>
      <c r="E39" s="22"/>
      <c r="F39" s="22"/>
      <c r="G39" s="22"/>
      <c r="H39" s="22"/>
      <c r="I39" s="22"/>
      <c r="J39" s="22"/>
      <c r="K39" s="52"/>
    </row>
    <row r="40" spans="1:11" ht="15.75" thickBot="1">
      <c r="A40" s="2"/>
      <c r="B40" s="2" t="s">
        <v>152</v>
      </c>
      <c r="C40" s="22"/>
      <c r="D40" s="22">
        <f>1/(1+$C$45)</f>
        <v>0.90909090909090906</v>
      </c>
      <c r="E40" s="22">
        <f t="shared" ref="E40:J40" si="8">D40/(1+$C$45)</f>
        <v>0.82644628099173545</v>
      </c>
      <c r="F40" s="22">
        <f t="shared" si="8"/>
        <v>0.75131480090157765</v>
      </c>
      <c r="G40" s="22">
        <f t="shared" si="8"/>
        <v>0.68301345536507052</v>
      </c>
      <c r="H40" s="22">
        <f t="shared" si="8"/>
        <v>0.62092132305915493</v>
      </c>
      <c r="I40" s="22">
        <f t="shared" si="8"/>
        <v>0.56447393005377711</v>
      </c>
      <c r="J40" s="22">
        <f t="shared" si="8"/>
        <v>0.51315811823070645</v>
      </c>
      <c r="K40" s="52"/>
    </row>
    <row r="41" spans="1:11" ht="15.75" thickBot="1">
      <c r="A41" s="2"/>
      <c r="B41" s="2" t="s">
        <v>155</v>
      </c>
      <c r="C41" s="21"/>
      <c r="D41" s="54">
        <f t="shared" ref="D41:J41" si="9">D37*D40</f>
        <v>-8500218.7338669486</v>
      </c>
      <c r="E41" s="54">
        <f t="shared" si="9"/>
        <v>-5056136.8943117289</v>
      </c>
      <c r="F41" s="54">
        <f t="shared" si="9"/>
        <v>-1643668.0071574915</v>
      </c>
      <c r="G41" s="54">
        <f t="shared" si="9"/>
        <v>-540415.35245312413</v>
      </c>
      <c r="H41" s="54">
        <f t="shared" si="9"/>
        <v>6765862.0289504919</v>
      </c>
      <c r="I41" s="54">
        <f t="shared" si="9"/>
        <v>-3733759345.6717715</v>
      </c>
      <c r="J41" s="54">
        <f t="shared" si="9"/>
        <v>10968547.404077549</v>
      </c>
      <c r="K41" s="52"/>
    </row>
    <row r="42" spans="1:11" ht="15.75" thickBot="1">
      <c r="A42" s="2"/>
      <c r="B42" s="67" t="s">
        <v>74</v>
      </c>
      <c r="C42" s="53">
        <f>SUM(D41:J41)+SUM(C37:C37)</f>
        <v>-3731765375.2265329</v>
      </c>
      <c r="D42" s="27"/>
      <c r="E42" s="27"/>
      <c r="F42" s="27"/>
      <c r="G42" s="27"/>
      <c r="H42" s="27"/>
      <c r="I42" s="27"/>
      <c r="J42" s="28"/>
      <c r="K42" s="2"/>
    </row>
    <row r="43" spans="1:11" ht="15.75" thickBot="1">
      <c r="A43" s="2"/>
      <c r="B43" s="64" t="s">
        <v>75</v>
      </c>
      <c r="C43" s="51" t="e">
        <f>IRR(C37:J37,6%)</f>
        <v>#NUM!</v>
      </c>
      <c r="D43" s="27"/>
      <c r="E43" s="27"/>
      <c r="F43" s="27"/>
      <c r="G43" s="27"/>
      <c r="H43" s="27"/>
      <c r="I43" s="27"/>
      <c r="J43" s="28"/>
      <c r="K43" s="2"/>
    </row>
    <row r="44" spans="1:11" ht="15.75" thickBot="1">
      <c r="A44" s="1"/>
      <c r="B44" s="65" t="s">
        <v>154</v>
      </c>
      <c r="C44" s="63">
        <f>3+(-F38/G37)</f>
        <v>-19.314705284137183</v>
      </c>
      <c r="D44" s="56"/>
      <c r="E44" s="56"/>
      <c r="F44" s="56"/>
      <c r="G44" s="56"/>
      <c r="H44" s="56"/>
      <c r="I44" s="56"/>
      <c r="J44" s="57"/>
      <c r="K44" s="1"/>
    </row>
    <row r="45" spans="1:11" ht="15.75" thickBot="1">
      <c r="B45" s="66" t="s">
        <v>136</v>
      </c>
      <c r="C45" s="68">
        <v>0.1</v>
      </c>
    </row>
    <row r="50" spans="3:10">
      <c r="J50" s="48"/>
    </row>
  </sheetData>
  <mergeCells count="2">
    <mergeCell ref="D3:K3"/>
    <mergeCell ref="C2:M2"/>
  </mergeCells>
  <hyperlinks>
    <hyperlink ref="B42" r:id="rId1" xr:uid="{1AE71A79-D5BA-4CA7-845E-4CB4AE685C06}"/>
  </hyperlinks>
  <pageMargins left="0.7" right="0.7" top="0.75" bottom="0.75" header="0.3" footer="0.3"/>
  <pageSetup orientation="portrait" r:id="rId2"/>
  <legacy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5C50BD-230C-469E-8904-05DB21D6F7AA}">
  <dimension ref="A1:O16"/>
  <sheetViews>
    <sheetView showGridLines="0" workbookViewId="0">
      <selection activeCell="E13" sqref="E13"/>
    </sheetView>
  </sheetViews>
  <sheetFormatPr defaultRowHeight="15"/>
  <cols>
    <col min="1" max="1" width="33.140625" bestFit="1" customWidth="1"/>
    <col min="2" max="2" width="22.5703125" bestFit="1" customWidth="1"/>
    <col min="4" max="4" width="2.140625" customWidth="1"/>
    <col min="5" max="5" width="13.28515625" bestFit="1" customWidth="1"/>
    <col min="6" max="9" width="14" bestFit="1" customWidth="1"/>
    <col min="10" max="10" width="15.5703125" bestFit="1" customWidth="1"/>
    <col min="11" max="14" width="14" bestFit="1" customWidth="1"/>
    <col min="15" max="15" width="2" bestFit="1" customWidth="1"/>
  </cols>
  <sheetData>
    <row r="1" spans="1:15">
      <c r="A1" s="152"/>
      <c r="B1" s="152"/>
      <c r="C1" s="152"/>
      <c r="D1" s="186"/>
      <c r="E1" s="70">
        <v>1</v>
      </c>
      <c r="F1" s="70">
        <v>2</v>
      </c>
      <c r="G1" s="70">
        <v>3</v>
      </c>
      <c r="H1" s="70">
        <v>4</v>
      </c>
      <c r="I1" s="70">
        <v>5</v>
      </c>
      <c r="J1" s="70">
        <v>6</v>
      </c>
      <c r="K1" s="71">
        <v>7</v>
      </c>
      <c r="L1" s="70">
        <v>8</v>
      </c>
      <c r="M1" s="71">
        <v>9</v>
      </c>
      <c r="N1" s="70">
        <v>10</v>
      </c>
      <c r="O1" s="187"/>
    </row>
    <row r="2" spans="1:15">
      <c r="A2" s="188" t="s">
        <v>156</v>
      </c>
      <c r="B2" s="152"/>
      <c r="C2" s="189"/>
      <c r="D2" s="186"/>
      <c r="E2" s="152"/>
      <c r="F2" s="152"/>
      <c r="G2" s="152"/>
      <c r="H2" s="152"/>
      <c r="I2" s="152"/>
      <c r="J2" s="152"/>
      <c r="K2" s="152"/>
      <c r="L2" s="152"/>
      <c r="M2" s="152"/>
      <c r="N2" s="152"/>
      <c r="O2" s="187"/>
    </row>
    <row r="3" spans="1:15">
      <c r="A3" s="152"/>
      <c r="B3" s="189" t="s">
        <v>157</v>
      </c>
      <c r="C3" s="152" t="s">
        <v>158</v>
      </c>
      <c r="D3" s="186"/>
      <c r="E3" s="190">
        <v>60</v>
      </c>
      <c r="F3" s="190">
        <v>60</v>
      </c>
      <c r="G3" s="190">
        <v>60</v>
      </c>
      <c r="H3" s="190">
        <v>60</v>
      </c>
      <c r="I3" s="190">
        <v>60</v>
      </c>
      <c r="J3" s="190">
        <v>60</v>
      </c>
      <c r="K3" s="190">
        <v>60</v>
      </c>
      <c r="L3" s="190">
        <v>60</v>
      </c>
      <c r="M3" s="190">
        <v>60</v>
      </c>
      <c r="N3" s="190">
        <v>60</v>
      </c>
      <c r="O3" s="187"/>
    </row>
    <row r="4" spans="1:15">
      <c r="A4" s="152"/>
      <c r="B4" s="189" t="s">
        <v>159</v>
      </c>
      <c r="C4" s="152" t="s">
        <v>160</v>
      </c>
      <c r="D4" s="186"/>
      <c r="E4" s="191">
        <f>'Cash Flow Epoxy Resin'!E9</f>
        <v>73324666.800000012</v>
      </c>
      <c r="F4" s="191">
        <f>'Cash Flow Epoxy Resin'!F9-'Cash Flow Epoxy Resin'!E9</f>
        <v>25908048.93599999</v>
      </c>
      <c r="G4" s="191">
        <f>'Cash Flow Epoxy Resin'!G9-'Cash Flow Epoxy Resin'!F9</f>
        <v>14078641.545044988</v>
      </c>
      <c r="H4" s="191">
        <f>'Cash Flow Epoxy Resin'!H9-'Cash Flow Epoxy Resin'!G9</f>
        <v>8089171.8947856873</v>
      </c>
      <c r="I4" s="191">
        <f>'Cash Flow Epoxy Resin'!I9-'Cash Flow Epoxy Resin'!H9</f>
        <v>78348067.829159722</v>
      </c>
      <c r="J4" s="191">
        <f>'Cash Flow Epoxy Resin'!J9-'Cash Flow Epoxy Resin'!I9</f>
        <v>31959775.520798504</v>
      </c>
      <c r="K4" s="191">
        <f>'Cash Flow Epoxy Resin'!K9-'Cash Flow Epoxy Resin'!J9</f>
        <v>22183443.619656444</v>
      </c>
      <c r="L4" s="191">
        <f>'Cash Flow Epoxy Resin'!L9-'Cash Flow Epoxy Resin'!K9</f>
        <v>3808377.2421816587</v>
      </c>
      <c r="M4" s="191">
        <f>'Cash Flow Epoxy Resin'!M9-'Cash Flow Epoxy Resin'!L9</f>
        <v>3865502.9008143842</v>
      </c>
      <c r="N4" s="191">
        <f>'Cash Flow Epoxy Resin'!N9-'Cash Flow Epoxy Resin'!M9</f>
        <v>3923485.4443266094</v>
      </c>
      <c r="O4" s="191">
        <f>'Cash Flow'!N9-'Cash Flow'!M9</f>
        <v>-241793999.99999997</v>
      </c>
    </row>
    <row r="5" spans="1:15">
      <c r="A5" s="152"/>
      <c r="B5" s="189" t="s">
        <v>161</v>
      </c>
      <c r="C5" s="152" t="s">
        <v>160</v>
      </c>
      <c r="D5" s="186"/>
      <c r="E5" s="191">
        <f>+E4/365*E3</f>
        <v>12053369.884931508</v>
      </c>
      <c r="F5" s="191">
        <f t="shared" ref="F5:N5" si="0">+F4/365*F3</f>
        <v>4258857.3593424633</v>
      </c>
      <c r="G5" s="191">
        <f t="shared" si="0"/>
        <v>2314297.2402813681</v>
      </c>
      <c r="H5" s="191">
        <f t="shared" si="0"/>
        <v>1329726.8868140855</v>
      </c>
      <c r="I5" s="191">
        <f t="shared" si="0"/>
        <v>12879134.437670091</v>
      </c>
      <c r="J5" s="191">
        <f t="shared" si="0"/>
        <v>5253661.7294463301</v>
      </c>
      <c r="K5" s="191">
        <f t="shared" si="0"/>
        <v>3646593.4717243467</v>
      </c>
      <c r="L5" s="191">
        <f t="shared" si="0"/>
        <v>626034.61515314947</v>
      </c>
      <c r="M5" s="191">
        <f t="shared" si="0"/>
        <v>635425.13438044675</v>
      </c>
      <c r="N5" s="191">
        <f t="shared" si="0"/>
        <v>644956.51139615488</v>
      </c>
      <c r="O5" s="187"/>
    </row>
    <row r="6" spans="1:15">
      <c r="A6" s="152"/>
      <c r="B6" s="152"/>
      <c r="C6" s="152"/>
      <c r="D6" s="186"/>
      <c r="E6" s="152"/>
      <c r="F6" s="152"/>
      <c r="G6" s="152"/>
      <c r="H6" s="152"/>
      <c r="I6" s="152"/>
      <c r="J6" s="152"/>
      <c r="K6" s="152"/>
      <c r="L6" s="152"/>
      <c r="M6" s="152"/>
      <c r="N6" s="152"/>
      <c r="O6" s="187"/>
    </row>
    <row r="7" spans="1:15">
      <c r="A7" s="188" t="s">
        <v>162</v>
      </c>
      <c r="B7" s="152"/>
      <c r="C7" s="189"/>
      <c r="D7" s="186"/>
      <c r="E7" s="152"/>
      <c r="F7" s="152"/>
      <c r="G7" s="152"/>
      <c r="H7" s="152"/>
      <c r="I7" s="152"/>
      <c r="J7" s="152"/>
      <c r="K7" s="152"/>
      <c r="L7" s="152"/>
      <c r="M7" s="152"/>
      <c r="N7" s="152"/>
      <c r="O7" s="187"/>
    </row>
    <row r="8" spans="1:15">
      <c r="A8" s="152"/>
      <c r="B8" s="189" t="s">
        <v>163</v>
      </c>
      <c r="C8" s="152" t="s">
        <v>158</v>
      </c>
      <c r="D8" s="186"/>
      <c r="E8" s="190">
        <v>30</v>
      </c>
      <c r="F8" s="190">
        <v>30</v>
      </c>
      <c r="G8" s="190">
        <v>30</v>
      </c>
      <c r="H8" s="190">
        <v>30</v>
      </c>
      <c r="I8" s="190">
        <v>30</v>
      </c>
      <c r="J8" s="190">
        <v>30</v>
      </c>
      <c r="K8" s="190">
        <v>30</v>
      </c>
      <c r="L8" s="190">
        <v>30</v>
      </c>
      <c r="M8" s="190">
        <v>30</v>
      </c>
      <c r="N8" s="190">
        <v>30</v>
      </c>
      <c r="O8" s="187"/>
    </row>
    <row r="9" spans="1:15">
      <c r="A9" s="152"/>
      <c r="B9" s="189" t="s">
        <v>164</v>
      </c>
      <c r="C9" s="152" t="s">
        <v>160</v>
      </c>
      <c r="D9" s="186"/>
      <c r="E9" s="192">
        <f>'Cash Flow Epoxy Resin'!E29</f>
        <v>60395609.682475202</v>
      </c>
      <c r="F9" s="192">
        <f>'Cash Flow Epoxy Resin'!F29-'Cash Flow Epoxy Resin'!E29</f>
        <v>20131869.894158401</v>
      </c>
      <c r="G9" s="192">
        <f>'Cash Flow Epoxy Resin'!G29-'Cash Flow Epoxy Resin'!F29</f>
        <v>10065934.947079197</v>
      </c>
      <c r="H9" s="192">
        <f>'Cash Flow Epoxy Resin'!H29-'Cash Flow Epoxy Resin'!G29</f>
        <v>5032967.4735395908</v>
      </c>
      <c r="I9" s="192">
        <f>'Cash Flow Epoxy Resin'!I29-'Cash Flow Epoxy Resin'!H29</f>
        <v>59389016.187767282</v>
      </c>
      <c r="J9" s="192">
        <f>'Cash Flow Epoxy Resin'!J29-'Cash Flow Epoxy Resin'!I29</f>
        <v>22145056.883574247</v>
      </c>
      <c r="K9" s="192">
        <f>'Cash Flow Epoxy Resin'!K29-'Cash Flow Epoxy Resin'!J29</f>
        <v>14092308.92591086</v>
      </c>
      <c r="L9" s="192">
        <f>'Cash Flow Epoxy Resin'!L29-'Cash Flow Epoxy Resin'!K29</f>
        <v>2868791.4599175453</v>
      </c>
      <c r="M9" s="192">
        <f>'Cash Flow Epoxy Resin'!M29-'Cash Flow Epoxy Resin'!L29</f>
        <v>2911823.3318163455</v>
      </c>
      <c r="N9" s="192">
        <f>'Cash Flow Epoxy Resin'!N29-'Cash Flow Epoxy Resin'!M29</f>
        <v>2955500.6817935109</v>
      </c>
      <c r="O9" s="187"/>
    </row>
    <row r="10" spans="1:15">
      <c r="A10" s="152"/>
      <c r="B10" s="189" t="s">
        <v>165</v>
      </c>
      <c r="C10" s="152" t="s">
        <v>160</v>
      </c>
      <c r="D10" s="186"/>
      <c r="E10" s="191">
        <f>+E9/365*E8</f>
        <v>4964022.7136280993</v>
      </c>
      <c r="F10" s="191">
        <f t="shared" ref="F10:N10" si="1">+F9/365*F8</f>
        <v>1654674.2378760329</v>
      </c>
      <c r="G10" s="191">
        <f t="shared" si="1"/>
        <v>827337.11893801624</v>
      </c>
      <c r="H10" s="191">
        <f t="shared" si="1"/>
        <v>413668.55946900742</v>
      </c>
      <c r="I10" s="191">
        <f t="shared" si="1"/>
        <v>4881289.0017342968</v>
      </c>
      <c r="J10" s="191">
        <f t="shared" si="1"/>
        <v>1820141.6616636368</v>
      </c>
      <c r="K10" s="191">
        <f t="shared" si="1"/>
        <v>1158271.9665132214</v>
      </c>
      <c r="L10" s="191">
        <f t="shared" si="1"/>
        <v>235791.07889733248</v>
      </c>
      <c r="M10" s="191">
        <f>+M9/365*M8</f>
        <v>239327.94508079553</v>
      </c>
      <c r="N10" s="191">
        <f t="shared" si="1"/>
        <v>242917.86425700088</v>
      </c>
      <c r="O10" s="187"/>
    </row>
    <row r="11" spans="1:15">
      <c r="A11" s="152"/>
      <c r="B11" s="152"/>
      <c r="C11" s="152"/>
      <c r="D11" s="186"/>
      <c r="E11" s="152"/>
      <c r="F11" s="152"/>
      <c r="G11" s="152"/>
      <c r="H11" s="152"/>
      <c r="I11" s="152"/>
      <c r="J11" s="152"/>
      <c r="K11" s="152"/>
      <c r="L11" s="152"/>
      <c r="M11" s="152"/>
      <c r="N11" s="152"/>
      <c r="O11" s="187"/>
    </row>
    <row r="12" spans="1:15">
      <c r="A12" s="188" t="s">
        <v>166</v>
      </c>
      <c r="B12" s="152"/>
      <c r="C12" s="189"/>
      <c r="D12" s="186"/>
      <c r="E12" s="152"/>
      <c r="F12" s="152"/>
      <c r="G12" s="152"/>
      <c r="H12" s="152"/>
      <c r="I12" s="152"/>
      <c r="J12" s="152"/>
      <c r="K12" s="152"/>
      <c r="L12" s="152"/>
      <c r="M12" s="152"/>
      <c r="N12" s="152"/>
      <c r="O12" s="187"/>
    </row>
    <row r="13" spans="1:15">
      <c r="A13" s="152"/>
      <c r="B13" s="189" t="s">
        <v>167</v>
      </c>
      <c r="C13" s="152" t="s">
        <v>158</v>
      </c>
      <c r="D13" s="186"/>
      <c r="E13" s="190">
        <v>60</v>
      </c>
      <c r="F13" s="190">
        <v>60</v>
      </c>
      <c r="G13" s="190">
        <v>60</v>
      </c>
      <c r="H13" s="190">
        <v>60</v>
      </c>
      <c r="I13" s="190">
        <v>60</v>
      </c>
      <c r="J13" s="190">
        <v>60</v>
      </c>
      <c r="K13" s="190">
        <v>60</v>
      </c>
      <c r="L13" s="190">
        <v>60</v>
      </c>
      <c r="M13" s="190">
        <v>60</v>
      </c>
      <c r="N13" s="190">
        <v>60</v>
      </c>
      <c r="O13" s="187"/>
    </row>
    <row r="14" spans="1:15">
      <c r="A14" s="152"/>
      <c r="B14" s="189" t="s">
        <v>168</v>
      </c>
      <c r="C14" s="152" t="s">
        <v>160</v>
      </c>
      <c r="D14" s="186"/>
      <c r="E14" s="192">
        <f>-E9</f>
        <v>-60395609.682475202</v>
      </c>
      <c r="F14" s="192">
        <f t="shared" ref="F14:N14" si="2">-F9</f>
        <v>-20131869.894158401</v>
      </c>
      <c r="G14" s="192">
        <f t="shared" si="2"/>
        <v>-10065934.947079197</v>
      </c>
      <c r="H14" s="192">
        <f t="shared" si="2"/>
        <v>-5032967.4735395908</v>
      </c>
      <c r="I14" s="192">
        <f t="shared" si="2"/>
        <v>-59389016.187767282</v>
      </c>
      <c r="J14" s="192">
        <f t="shared" si="2"/>
        <v>-22145056.883574247</v>
      </c>
      <c r="K14" s="192">
        <f t="shared" si="2"/>
        <v>-14092308.92591086</v>
      </c>
      <c r="L14" s="192">
        <f t="shared" si="2"/>
        <v>-2868791.4599175453</v>
      </c>
      <c r="M14" s="192">
        <f>-M9</f>
        <v>-2911823.3318163455</v>
      </c>
      <c r="N14" s="192">
        <f t="shared" si="2"/>
        <v>-2955500.6817935109</v>
      </c>
      <c r="O14" s="187"/>
    </row>
    <row r="15" spans="1:15">
      <c r="A15" s="152"/>
      <c r="B15" s="189" t="s">
        <v>168</v>
      </c>
      <c r="C15" s="152" t="s">
        <v>160</v>
      </c>
      <c r="D15" s="186"/>
      <c r="E15" s="191">
        <f>+E14/365*E13</f>
        <v>-9928045.4272561986</v>
      </c>
      <c r="F15" s="191">
        <f t="shared" ref="F15:N15" si="3">+F14/365*F13</f>
        <v>-3309348.4757520659</v>
      </c>
      <c r="G15" s="191">
        <f t="shared" si="3"/>
        <v>-1654674.2378760325</v>
      </c>
      <c r="H15" s="191">
        <f t="shared" si="3"/>
        <v>-827337.11893801484</v>
      </c>
      <c r="I15" s="191">
        <f t="shared" si="3"/>
        <v>-9762578.0034685936</v>
      </c>
      <c r="J15" s="191">
        <f t="shared" si="3"/>
        <v>-3640283.3233272736</v>
      </c>
      <c r="K15" s="191">
        <f t="shared" si="3"/>
        <v>-2316543.9330264428</v>
      </c>
      <c r="L15" s="191">
        <f t="shared" si="3"/>
        <v>-471582.15779466496</v>
      </c>
      <c r="M15" s="191">
        <f t="shared" si="3"/>
        <v>-478655.89016159106</v>
      </c>
      <c r="N15" s="191">
        <f t="shared" si="3"/>
        <v>-485835.72851400176</v>
      </c>
      <c r="O15" s="187"/>
    </row>
    <row r="16" spans="1:15">
      <c r="A16" s="152"/>
      <c r="B16" s="152"/>
      <c r="C16" s="152"/>
      <c r="D16" s="186"/>
      <c r="E16" s="152"/>
      <c r="F16" s="152"/>
      <c r="G16" s="152"/>
      <c r="H16" s="152"/>
      <c r="I16" s="152"/>
      <c r="J16" s="152"/>
      <c r="K16" s="152"/>
      <c r="L16" s="152"/>
      <c r="M16" s="152"/>
      <c r="N16" s="152"/>
      <c r="O16" s="187"/>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Cover Page</vt:lpstr>
      <vt:lpstr>Equipment List </vt:lpstr>
      <vt:lpstr>Capex</vt:lpstr>
      <vt:lpstr>Opex </vt:lpstr>
      <vt:lpstr>Opex</vt:lpstr>
      <vt:lpstr>Cost of Production</vt:lpstr>
      <vt:lpstr>Cash Flow Epoxy Resin</vt:lpstr>
      <vt:lpstr>Cash Flow</vt:lpstr>
      <vt:lpstr>Working sheet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Jaideep Kumar</dc:creator>
  <cp:lastModifiedBy>Hardik Malhotra</cp:lastModifiedBy>
  <cp:lastPrinted>2021-10-13T09:48:19Z</cp:lastPrinted>
  <dcterms:created xsi:type="dcterms:W3CDTF">2021-09-28T07:47:51Z</dcterms:created>
  <dcterms:modified xsi:type="dcterms:W3CDTF">2021-11-15T05:12:38Z</dcterms:modified>
</cp:coreProperties>
</file>